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Y:\DVO\DDIN\SUSTENTABILIDADE\2 - FUNDO AMBIENTAL - APA\2. PARCEIROS PROJETO TURISMO SUSTENTÁVEL\Univ Nova Lisboa\Guia Neutralidade Carbonica\Relatório final\"/>
    </mc:Choice>
  </mc:AlternateContent>
  <xr:revisionPtr revIDLastSave="0" documentId="8_{229CB433-CF98-443F-B918-9C4AAD3BB53B}" xr6:coauthVersionLast="46" xr6:coauthVersionMax="46" xr10:uidLastSave="{00000000-0000-0000-0000-000000000000}"/>
  <bookViews>
    <workbookView xWindow="1950" yWindow="600" windowWidth="9840" windowHeight="10920" xr2:uid="{59402023-88FD-E942-9815-6E93824264AD}"/>
  </bookViews>
  <sheets>
    <sheet name="ENTRADA" sheetId="1" r:id="rId1"/>
    <sheet name="GEET" sheetId="3" r:id="rId2"/>
    <sheet name="PEGADA DE CLIENTES" sheetId="9" r:id="rId3"/>
    <sheet name="RESULTADOS INVENTÁRIO" sheetId="7" r:id="rId4"/>
    <sheet name="Folha1" sheetId="11" state="hidden" r:id="rId5"/>
    <sheet name="DADOS_INVENTÁRIO" sheetId="2" r:id="rId6"/>
    <sheet name="PROJEÇÕES" sheetId="10" r:id="rId7"/>
    <sheet name="Folha de Apoio" sheetId="8"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1" i="10" l="1"/>
  <c r="E22" i="10"/>
  <c r="E52" i="2"/>
  <c r="E63" i="2"/>
  <c r="F72" i="2" l="1"/>
  <c r="F97" i="2"/>
  <c r="F96" i="2"/>
  <c r="F95" i="2"/>
  <c r="C72" i="2"/>
  <c r="F69" i="2"/>
  <c r="C69" i="2"/>
  <c r="C18" i="7"/>
  <c r="D11" i="10"/>
  <c r="C18" i="9"/>
  <c r="F47" i="10" l="1"/>
  <c r="E73" i="2" l="1"/>
  <c r="F26" i="2"/>
  <c r="E17" i="7" s="1"/>
  <c r="B41" i="7"/>
  <c r="H44" i="8"/>
  <c r="E15" i="8"/>
  <c r="B38" i="7" s="1"/>
  <c r="I29" i="8"/>
  <c r="F17" i="8"/>
  <c r="B40" i="7" s="1"/>
  <c r="F15" i="8"/>
  <c r="B36" i="7" s="1"/>
  <c r="F16" i="8"/>
  <c r="B37" i="7" s="1"/>
  <c r="C27" i="8"/>
  <c r="E18" i="7" s="1"/>
  <c r="G24" i="2"/>
  <c r="E106" i="2"/>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D119" i="8"/>
  <c r="D120" i="8"/>
  <c r="D121" i="8"/>
  <c r="D122" i="8"/>
  <c r="D123" i="8"/>
  <c r="D124" i="8"/>
  <c r="D125" i="8"/>
  <c r="D126" i="8"/>
  <c r="D127" i="8"/>
  <c r="D128" i="8"/>
  <c r="D129" i="8"/>
  <c r="D130" i="8"/>
  <c r="D131" i="8"/>
  <c r="D132" i="8"/>
  <c r="D51" i="8"/>
  <c r="D47" i="8"/>
  <c r="D48" i="8"/>
  <c r="D49" i="8"/>
  <c r="E85" i="2"/>
  <c r="E81" i="2"/>
  <c r="F73" i="2" l="1"/>
  <c r="E20" i="7" s="1"/>
  <c r="F27" i="2"/>
  <c r="E21" i="7" s="1"/>
  <c r="G43" i="10" l="1"/>
  <c r="E103" i="2" l="1"/>
  <c r="E92" i="2"/>
  <c r="E91" i="2"/>
  <c r="E68" i="2"/>
  <c r="E69" i="2"/>
  <c r="AJ3" i="8" l="1"/>
  <c r="E23" i="10"/>
  <c r="Z2" i="8"/>
  <c r="C65" i="10" l="1"/>
  <c r="I30" i="8" l="1"/>
  <c r="S30" i="8"/>
  <c r="AC30" i="8"/>
  <c r="AM30" i="8"/>
  <c r="Z3" i="8"/>
  <c r="F48" i="10"/>
  <c r="E40" i="10" l="1"/>
  <c r="X40" i="8" s="1"/>
  <c r="X43" i="8" s="1"/>
  <c r="P2" i="8" l="1"/>
  <c r="P9" i="8" s="1"/>
  <c r="Z9" i="8" s="1"/>
  <c r="AJ9" i="8" s="1"/>
  <c r="C53" i="10" l="1"/>
  <c r="E41" i="10"/>
  <c r="X41" i="8" s="1"/>
  <c r="E39" i="10"/>
  <c r="E48" i="2" l="1"/>
  <c r="C22" i="8" l="1"/>
  <c r="M22" i="8" s="1"/>
  <c r="W22" i="8" s="1"/>
  <c r="AG22" i="8" s="1"/>
  <c r="D9" i="8"/>
  <c r="D8" i="8"/>
  <c r="N8" i="8" l="1"/>
  <c r="X8" i="8" s="1"/>
  <c r="AH8" i="8" s="1"/>
  <c r="N9" i="8"/>
  <c r="X9" i="8" s="1"/>
  <c r="AH9" i="8" s="1"/>
  <c r="C32" i="8"/>
  <c r="M32" i="8" s="1"/>
  <c r="W32" i="8" s="1"/>
  <c r="AG32" i="8" s="1"/>
  <c r="C30" i="8"/>
  <c r="M30" i="8" s="1"/>
  <c r="W30" i="8" s="1"/>
  <c r="AG30" i="8" s="1"/>
  <c r="F8" i="8"/>
  <c r="P8" i="8" s="1"/>
  <c r="Z8" i="8" s="1"/>
  <c r="AJ8" i="8" s="1"/>
  <c r="F7" i="8"/>
  <c r="P7" i="8" s="1"/>
  <c r="Z7" i="8" s="1"/>
  <c r="AJ7" i="8" s="1"/>
  <c r="G97" i="2"/>
  <c r="G96" i="2"/>
  <c r="C97" i="2"/>
  <c r="C96" i="2"/>
  <c r="AG34" i="8" l="1"/>
  <c r="AF29" i="8" s="1"/>
  <c r="W34" i="8"/>
  <c r="V29" i="8" s="1"/>
  <c r="M34" i="8"/>
  <c r="L31" i="8" s="1"/>
  <c r="C34" i="8"/>
  <c r="B31" i="8" s="1"/>
  <c r="D14" i="8"/>
  <c r="G31" i="8" s="1"/>
  <c r="D13" i="8"/>
  <c r="D12" i="8"/>
  <c r="AF31" i="8" l="1"/>
  <c r="L29" i="8"/>
  <c r="G30" i="8"/>
  <c r="N13" i="8"/>
  <c r="X13" i="8" s="1"/>
  <c r="V31" i="8"/>
  <c r="H14" i="8"/>
  <c r="N14" i="8"/>
  <c r="G29" i="8"/>
  <c r="N12" i="8"/>
  <c r="X12" i="8" s="1"/>
  <c r="H13" i="8"/>
  <c r="H12" i="8"/>
  <c r="B29" i="8"/>
  <c r="AB13" i="8" l="1"/>
  <c r="AH13" i="8"/>
  <c r="AL13" i="8" s="1"/>
  <c r="X14" i="8"/>
  <c r="Q31" i="8"/>
  <c r="AH12" i="8"/>
  <c r="AL12" i="8" s="1"/>
  <c r="AB12" i="8"/>
  <c r="H29" i="8"/>
  <c r="R14" i="8"/>
  <c r="Q29" i="8"/>
  <c r="R12" i="8"/>
  <c r="R13" i="8"/>
  <c r="Q30" i="8"/>
  <c r="I12" i="8"/>
  <c r="G98" i="2"/>
  <c r="G95" i="2"/>
  <c r="C95" i="2"/>
  <c r="F98" i="2"/>
  <c r="C98" i="2"/>
  <c r="AH14" i="8" l="1"/>
  <c r="AA31" i="8"/>
  <c r="AB14" i="8"/>
  <c r="AK29" i="8"/>
  <c r="AK30" i="8"/>
  <c r="S12" i="8"/>
  <c r="AA29" i="8"/>
  <c r="AA30" i="8"/>
  <c r="R29"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97" i="8"/>
  <c r="F98" i="8"/>
  <c r="F99" i="8"/>
  <c r="F100" i="8"/>
  <c r="F101" i="8"/>
  <c r="F102" i="8"/>
  <c r="F103" i="8"/>
  <c r="F104" i="8"/>
  <c r="F105" i="8"/>
  <c r="F106" i="8"/>
  <c r="F107" i="8"/>
  <c r="F108" i="8"/>
  <c r="F109" i="8"/>
  <c r="F110" i="8"/>
  <c r="F111" i="8"/>
  <c r="F112" i="8"/>
  <c r="F113" i="8"/>
  <c r="F114" i="8"/>
  <c r="F115" i="8"/>
  <c r="F116" i="8"/>
  <c r="F117" i="8"/>
  <c r="F118" i="8"/>
  <c r="F119" i="8"/>
  <c r="F120" i="8"/>
  <c r="F121" i="8"/>
  <c r="F122" i="8"/>
  <c r="F123" i="8"/>
  <c r="F124" i="8"/>
  <c r="F125" i="8"/>
  <c r="F126" i="8"/>
  <c r="F127" i="8"/>
  <c r="F128" i="8"/>
  <c r="F129" i="8"/>
  <c r="F130" i="8"/>
  <c r="F131" i="8"/>
  <c r="F132" i="8"/>
  <c r="F47" i="8"/>
  <c r="F48" i="8"/>
  <c r="F49" i="8"/>
  <c r="F51" i="8"/>
  <c r="F6" i="8"/>
  <c r="P6" i="8" s="1"/>
  <c r="Z6" i="8" s="1"/>
  <c r="AJ6" i="8" s="1"/>
  <c r="C24" i="8"/>
  <c r="M24" i="8" s="1"/>
  <c r="F44" i="8" l="1"/>
  <c r="AK31" i="8"/>
  <c r="AL29" i="8" s="1"/>
  <c r="AL14" i="8"/>
  <c r="AM12" i="8" s="1"/>
  <c r="AB29" i="8"/>
  <c r="M26" i="8"/>
  <c r="W24" i="8"/>
  <c r="AC12" i="8"/>
  <c r="C26" i="8"/>
  <c r="D46" i="8"/>
  <c r="F46" i="8" s="1"/>
  <c r="F43" i="8" s="1"/>
  <c r="G42" i="8" l="1"/>
  <c r="B39" i="7"/>
  <c r="E8" i="8"/>
  <c r="E9" i="8"/>
  <c r="O9" i="8" s="1"/>
  <c r="W26" i="8"/>
  <c r="AG24" i="8"/>
  <c r="AG26" i="8" s="1"/>
  <c r="H37" i="8"/>
  <c r="H34" i="8"/>
  <c r="R34" i="8" s="1"/>
  <c r="AB34" i="8" s="1"/>
  <c r="D6" i="8"/>
  <c r="E6" i="8" s="1"/>
  <c r="D7" i="8"/>
  <c r="E7" i="8" s="1"/>
  <c r="R37" i="8" l="1"/>
  <c r="AL34" i="8"/>
  <c r="Q9" i="8"/>
  <c r="R9" i="8" s="1"/>
  <c r="Y9" i="8"/>
  <c r="AI9" i="8" s="1"/>
  <c r="O8" i="8"/>
  <c r="Y8" i="8" s="1"/>
  <c r="AI8" i="8" s="1"/>
  <c r="N6" i="8"/>
  <c r="X6" i="8" s="1"/>
  <c r="N7" i="8"/>
  <c r="X7" i="8" s="1"/>
  <c r="AH7" i="8" s="1"/>
  <c r="AH6" i="8" l="1"/>
  <c r="O6" i="8"/>
  <c r="Y6" i="8" s="1"/>
  <c r="AA8" i="8"/>
  <c r="AK8" i="8"/>
  <c r="AL8" i="8" s="1"/>
  <c r="AA9" i="8"/>
  <c r="AK9" i="8"/>
  <c r="AL9" i="8" s="1"/>
  <c r="O7" i="8"/>
  <c r="Y7" i="8" s="1"/>
  <c r="AI7" i="8" s="1"/>
  <c r="G6" i="8"/>
  <c r="Q26" i="8"/>
  <c r="Q8" i="8"/>
  <c r="D20" i="7"/>
  <c r="C20" i="7"/>
  <c r="AI6" i="8" l="1"/>
  <c r="AL37" i="8" s="1"/>
  <c r="AA26" i="8"/>
  <c r="AB9" i="8"/>
  <c r="AA25" i="8"/>
  <c r="AB8" i="8"/>
  <c r="AB37" i="8"/>
  <c r="AA6" i="8"/>
  <c r="AB6" i="8" s="1"/>
  <c r="AK7" i="8"/>
  <c r="Q6" i="8"/>
  <c r="R6" i="8" s="1"/>
  <c r="AA10" i="8"/>
  <c r="AK26" i="8"/>
  <c r="AA7" i="8"/>
  <c r="AB7" i="8" s="1"/>
  <c r="AK25" i="8"/>
  <c r="AK10" i="8"/>
  <c r="Q7" i="8"/>
  <c r="Q24" i="8" s="1"/>
  <c r="G23" i="8"/>
  <c r="H6" i="8"/>
  <c r="Q25" i="8"/>
  <c r="R8" i="8"/>
  <c r="Q10" i="8"/>
  <c r="G7" i="8"/>
  <c r="G24" i="8" s="1"/>
  <c r="AK6" i="8" l="1"/>
  <c r="AL6" i="8" s="1"/>
  <c r="AL7" i="8"/>
  <c r="AK24" i="8"/>
  <c r="AA23" i="8"/>
  <c r="AA11" i="8"/>
  <c r="Q23" i="8"/>
  <c r="R23" i="8" s="1"/>
  <c r="R33" i="8" s="1"/>
  <c r="R35" i="8" s="1"/>
  <c r="Q11" i="8"/>
  <c r="AA24" i="8"/>
  <c r="R7" i="8"/>
  <c r="S6" i="8" s="1"/>
  <c r="H7" i="8"/>
  <c r="G8" i="8"/>
  <c r="G9" i="8"/>
  <c r="G26" i="8" s="1"/>
  <c r="AK23" i="8" l="1"/>
  <c r="AL23" i="8" s="1"/>
  <c r="AL33" i="8" s="1"/>
  <c r="AL35" i="8" s="1"/>
  <c r="AK11" i="8"/>
  <c r="AM6" i="8"/>
  <c r="AB23" i="8"/>
  <c r="AB33" i="8" s="1"/>
  <c r="AB35" i="8" s="1"/>
  <c r="AC6" i="8"/>
  <c r="R38" i="8"/>
  <c r="G25" i="8"/>
  <c r="H23" i="8" s="1"/>
  <c r="H8" i="8"/>
  <c r="H9" i="8"/>
  <c r="G10" i="8"/>
  <c r="H33" i="8" l="1"/>
  <c r="H35" i="8" s="1"/>
  <c r="F32" i="8"/>
  <c r="AB38" i="8"/>
  <c r="D63" i="10" s="1"/>
  <c r="AC35" i="8"/>
  <c r="AM35" i="8"/>
  <c r="AL38" i="8"/>
  <c r="D75" i="10" s="1"/>
  <c r="G11" i="8"/>
  <c r="I6" i="8"/>
  <c r="H38" i="8" l="1"/>
  <c r="S35" i="8"/>
  <c r="F42" i="8"/>
  <c r="W2" i="8" l="1"/>
  <c r="D54" i="10" s="1"/>
  <c r="D57" i="10" s="1"/>
  <c r="AG2" i="8"/>
  <c r="D66" i="10" s="1"/>
  <c r="C2" i="8"/>
  <c r="C24" i="7" s="1"/>
  <c r="M2" i="8"/>
  <c r="D27" i="10" s="1"/>
  <c r="D68" i="10" l="1"/>
  <c r="D56" i="10"/>
  <c r="C25" i="7"/>
  <c r="C34" i="7"/>
  <c r="C33" i="7"/>
  <c r="C26" i="7"/>
  <c r="C31" i="7"/>
  <c r="C30" i="7"/>
  <c r="E19" i="7"/>
  <c r="D67" i="10"/>
  <c r="D55" i="10"/>
  <c r="D29" i="10"/>
  <c r="D28" i="10"/>
  <c r="D30" i="10" s="1"/>
  <c r="D70" i="10"/>
  <c r="D73" i="10" s="1"/>
  <c r="D69" i="10"/>
  <c r="D71" i="10" s="1"/>
  <c r="D59" i="10"/>
  <c r="D58" i="10"/>
  <c r="D61" i="10" s="1"/>
  <c r="D72" i="10" l="1"/>
  <c r="D60" i="10"/>
  <c r="D31" i="10"/>
  <c r="D74" i="10" l="1"/>
  <c r="D62" i="10"/>
  <c r="C27" i="7"/>
  <c r="C31" i="9" s="1"/>
  <c r="C28" i="7"/>
  <c r="C32" i="9" s="1"/>
  <c r="C33"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Utilizador do Microsoft Office</author>
  </authors>
  <commentList>
    <comment ref="C13" authorId="0" shapeId="0" xr:uid="{5C4DF1BB-0D5A-B240-993C-A65084A56F0E}">
      <text>
        <r>
          <rPr>
            <b/>
            <sz val="10"/>
            <color rgb="FF000000"/>
            <rFont val="Tahoma"/>
            <family val="2"/>
          </rPr>
          <t xml:space="preserve">GEET: </t>
        </r>
        <r>
          <rPr>
            <sz val="10"/>
            <color rgb="FF000000"/>
            <rFont val="Tahoma"/>
            <family val="2"/>
          </rPr>
          <t xml:space="preserve">O horizonte de projeção corresponde ao ano civil futuro para o qual são projetados os dados e as emissões de GEE.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José Barroso</author>
  </authors>
  <commentList>
    <comment ref="AA6" authorId="0" shapeId="0" xr:uid="{1AF34367-1294-4610-B8A8-F1FEA36BDBC4}">
      <text>
        <r>
          <rPr>
            <b/>
            <sz val="9"/>
            <color indexed="81"/>
            <rFont val="Tahoma"/>
            <family val="2"/>
          </rPr>
          <t>José Barroso:</t>
        </r>
        <r>
          <rPr>
            <sz val="9"/>
            <color indexed="81"/>
            <rFont val="Tahoma"/>
            <family val="2"/>
          </rPr>
          <t xml:space="preserve">
Compensa a não redução da produção em AC</t>
        </r>
      </text>
    </comment>
  </commentList>
</comments>
</file>

<file path=xl/sharedStrings.xml><?xml version="1.0" encoding="utf-8"?>
<sst xmlns="http://schemas.openxmlformats.org/spreadsheetml/2006/main" count="1201" uniqueCount="443">
  <si>
    <t>(PREENCHA AS CÉLULAS SOMBREADAS A CINZENTO)</t>
  </si>
  <si>
    <t>DADOS</t>
  </si>
  <si>
    <t>DESCRITIVO</t>
  </si>
  <si>
    <t>UNIDADE</t>
  </si>
  <si>
    <t>VALOR</t>
  </si>
  <si>
    <t>m2</t>
  </si>
  <si>
    <t>n.º</t>
  </si>
  <si>
    <t>Consumo de gasolina</t>
  </si>
  <si>
    <t>ID</t>
  </si>
  <si>
    <t>A2</t>
  </si>
  <si>
    <t>A1</t>
  </si>
  <si>
    <t>A3</t>
  </si>
  <si>
    <t>A4</t>
  </si>
  <si>
    <t>B4</t>
  </si>
  <si>
    <t>C1</t>
  </si>
  <si>
    <t>C2</t>
  </si>
  <si>
    <t>C3</t>
  </si>
  <si>
    <t>C4</t>
  </si>
  <si>
    <t>C5</t>
  </si>
  <si>
    <t>C6</t>
  </si>
  <si>
    <t>Autoconsumo de energia renovável</t>
  </si>
  <si>
    <t>C7</t>
  </si>
  <si>
    <t>Compra de energia de origem renovável</t>
  </si>
  <si>
    <t>SUPORTE DE INFORMAÇÃO</t>
  </si>
  <si>
    <t>D1</t>
  </si>
  <si>
    <t>D2</t>
  </si>
  <si>
    <t>O serviço de lavandaria é contratado externamente, a uma entidade terceira?</t>
  </si>
  <si>
    <t>E1</t>
  </si>
  <si>
    <t>E2</t>
  </si>
  <si>
    <t>E3</t>
  </si>
  <si>
    <t>Consumo de gasóleo (rodoviário)</t>
  </si>
  <si>
    <t xml:space="preserve">Carregamento de veículos elétricos </t>
  </si>
  <si>
    <t>kWh/ano</t>
  </si>
  <si>
    <t>kg/ano</t>
  </si>
  <si>
    <t>litros/ano</t>
  </si>
  <si>
    <t>SIM</t>
  </si>
  <si>
    <t>NÃO</t>
  </si>
  <si>
    <t>E1.1</t>
  </si>
  <si>
    <t>E1.2</t>
  </si>
  <si>
    <t>E1.3</t>
  </si>
  <si>
    <t>E1.4</t>
  </si>
  <si>
    <t>E1.5</t>
  </si>
  <si>
    <r>
      <t>m</t>
    </r>
    <r>
      <rPr>
        <vertAlign val="superscript"/>
        <sz val="12"/>
        <color theme="1"/>
        <rFont val="Calibri (corpo)"/>
      </rPr>
      <t>2</t>
    </r>
  </si>
  <si>
    <t>LAVANDARIA</t>
  </si>
  <si>
    <t>horas</t>
  </si>
  <si>
    <t>Faturas do comercializador de energia</t>
  </si>
  <si>
    <t>Consumo total de gás natural</t>
  </si>
  <si>
    <t>Consumo total de gás propano e GPL</t>
  </si>
  <si>
    <t>Consumo total de gasóleo não rodoviário</t>
  </si>
  <si>
    <t>Área total para reuniões e eventos</t>
  </si>
  <si>
    <t>Faturas do fornecedor de energia relativas ao período de 12 meses de reporte. Em alternativa, registo de leitura do contador, no período de reporte.</t>
  </si>
  <si>
    <r>
      <t>m</t>
    </r>
    <r>
      <rPr>
        <vertAlign val="superscript"/>
        <sz val="12"/>
        <color theme="1"/>
        <rFont val="Calibri (corpo)"/>
      </rPr>
      <t>3</t>
    </r>
    <r>
      <rPr>
        <sz val="12"/>
        <color theme="1"/>
        <rFont val="Calibri"/>
        <family val="2"/>
        <scheme val="minor"/>
      </rPr>
      <t>/ano</t>
    </r>
  </si>
  <si>
    <t>Consumo total de eletricidade</t>
  </si>
  <si>
    <r>
      <t xml:space="preserve">C. DADOS SOBRE </t>
    </r>
    <r>
      <rPr>
        <b/>
        <sz val="14"/>
        <color theme="0"/>
        <rFont val="Calibri (corpo)_x0000_"/>
      </rPr>
      <t>FONTES DE EMISSÃO</t>
    </r>
  </si>
  <si>
    <r>
      <t xml:space="preserve">D. DADOS SOBRE O </t>
    </r>
    <r>
      <rPr>
        <b/>
        <sz val="14"/>
        <color theme="0"/>
        <rFont val="Calibri (corpo)_x0000_"/>
      </rPr>
      <t>CONSUMO DE ENERGIA RENOVÁVEL</t>
    </r>
  </si>
  <si>
    <r>
      <t xml:space="preserve">E. </t>
    </r>
    <r>
      <rPr>
        <b/>
        <sz val="14"/>
        <color theme="0"/>
        <rFont val="Calibri (corpo)_x0000_"/>
      </rPr>
      <t xml:space="preserve">OUTROS DADOS </t>
    </r>
    <r>
      <rPr>
        <sz val="12"/>
        <color theme="0"/>
        <rFont val="Calibri"/>
        <family val="2"/>
        <scheme val="minor"/>
      </rPr>
      <t>SOBRE FONTES DE EMISSÃO</t>
    </r>
  </si>
  <si>
    <r>
      <t xml:space="preserve">F. </t>
    </r>
    <r>
      <rPr>
        <b/>
        <sz val="14"/>
        <color theme="0"/>
        <rFont val="Calibri (corpo)_x0000_"/>
      </rPr>
      <t>FATORES DE EMISSÃO</t>
    </r>
  </si>
  <si>
    <t>QE2.1</t>
  </si>
  <si>
    <t>E2.1</t>
  </si>
  <si>
    <t>E2.2</t>
  </si>
  <si>
    <t>GASES FLUORADOS</t>
  </si>
  <si>
    <t>Os equipamentos fixos de refrigeração, ar condicionado e/ou bombas de calor registaram, nos 12 meses do período de reporte, fugas de gás superiores a 100kg? Ou, nesse mesmo período, decorreu uma intervenção estrutural para manutenção do sistema de ar-condicionado?</t>
  </si>
  <si>
    <t>QE3</t>
  </si>
  <si>
    <t>PERGUNTAS</t>
  </si>
  <si>
    <t>RESPOSTAS</t>
  </si>
  <si>
    <t>INSTRUÇÕES</t>
  </si>
  <si>
    <t>DEFINIÇÃO</t>
  </si>
  <si>
    <t>QE3.1</t>
  </si>
  <si>
    <t>PERGUNTA</t>
  </si>
  <si>
    <t>RESPOSTA</t>
  </si>
  <si>
    <t>HFC-134a</t>
  </si>
  <si>
    <t>R-404A</t>
  </si>
  <si>
    <t>R-410A</t>
  </si>
  <si>
    <t>HFC-23</t>
  </si>
  <si>
    <t>HFC-32</t>
  </si>
  <si>
    <t>HFC-41</t>
  </si>
  <si>
    <t>HFC-125</t>
  </si>
  <si>
    <t>HFC-143</t>
  </si>
  <si>
    <t>HFC-143a</t>
  </si>
  <si>
    <t>HFC-152a</t>
  </si>
  <si>
    <t>HFC-227ea</t>
  </si>
  <si>
    <t>HFC-236fa</t>
  </si>
  <si>
    <t>HFC-245fa</t>
  </si>
  <si>
    <t>HFC-43-I0mee</t>
  </si>
  <si>
    <t>PFC-14</t>
  </si>
  <si>
    <t>PFC-116</t>
  </si>
  <si>
    <t>PFC-218</t>
  </si>
  <si>
    <t>PFC-318</t>
  </si>
  <si>
    <t>PFC-3-1-10</t>
  </si>
  <si>
    <t>PFC-4-1-12</t>
  </si>
  <si>
    <t>PFC-5-1-14</t>
  </si>
  <si>
    <t>SF6</t>
  </si>
  <si>
    <t>HFC-161</t>
  </si>
  <si>
    <t>HFC-236ea</t>
  </si>
  <si>
    <t>HFC-245ca</t>
  </si>
  <si>
    <t>HFC-365mfc</t>
  </si>
  <si>
    <t>R407A</t>
  </si>
  <si>
    <t>R407C</t>
  </si>
  <si>
    <t>R407F</t>
  </si>
  <si>
    <t>R408A</t>
  </si>
  <si>
    <t>R507A</t>
  </si>
  <si>
    <t>R508B</t>
  </si>
  <si>
    <t>R403A</t>
  </si>
  <si>
    <t>CFC-11/R11</t>
  </si>
  <si>
    <t>CFC-12/R12</t>
  </si>
  <si>
    <t>CFC-13</t>
  </si>
  <si>
    <t>CFC-113</t>
  </si>
  <si>
    <t>CFC-114</t>
  </si>
  <si>
    <t>CFC-115</t>
  </si>
  <si>
    <t>Halon-1211</t>
  </si>
  <si>
    <t>Halon-1301</t>
  </si>
  <si>
    <t>Halon-2402</t>
  </si>
  <si>
    <t>Tetracloreto de carbono</t>
  </si>
  <si>
    <t>Bromometano</t>
  </si>
  <si>
    <t>Tricloroetano </t>
  </si>
  <si>
    <t>HCFC-123</t>
  </si>
  <si>
    <t>HCFC-124</t>
  </si>
  <si>
    <t>HCFC-141b</t>
  </si>
  <si>
    <t>HCFC-142b</t>
  </si>
  <si>
    <t>HCFC-225ca</t>
  </si>
  <si>
    <t>HCFC-225cb</t>
  </si>
  <si>
    <t>HCFC-21</t>
  </si>
  <si>
    <t>PFC-9-1-18</t>
  </si>
  <si>
    <t>Pentafluoreto de trifluorometil-enxofre</t>
  </si>
  <si>
    <t>c-C3F6</t>
  </si>
  <si>
    <t>HFE-125</t>
  </si>
  <si>
    <t>HFE-134</t>
  </si>
  <si>
    <t>HFE-143a</t>
  </si>
  <si>
    <t>HCFE-235da2</t>
  </si>
  <si>
    <t>HFE-245cb2</t>
  </si>
  <si>
    <t>HFE-245fa2</t>
  </si>
  <si>
    <t>HFE-254cb2</t>
  </si>
  <si>
    <t>HFE-347mcc3</t>
  </si>
  <si>
    <t>HFE-347pcf2</t>
  </si>
  <si>
    <t>HFE-356pcc3</t>
  </si>
  <si>
    <t>HFE-449sl (HFE-7100)</t>
  </si>
  <si>
    <t>HFE-569sf2 (HFE-7200)</t>
  </si>
  <si>
    <t>HFE-43-10pccc124 (H-Galden1040x)</t>
  </si>
  <si>
    <t>HFE-236ca12 (HG-10)</t>
  </si>
  <si>
    <t>HFE-338pcc13 (HG-01)</t>
  </si>
  <si>
    <t>PFPMIE</t>
  </si>
  <si>
    <t>Éter etílico</t>
  </si>
  <si>
    <t>Diclorometano</t>
  </si>
  <si>
    <t>Clorometano</t>
  </si>
  <si>
    <t>R290</t>
  </si>
  <si>
    <t>R600A</t>
  </si>
  <si>
    <t>R406A</t>
  </si>
  <si>
    <t>R409A</t>
  </si>
  <si>
    <t>R502</t>
  </si>
  <si>
    <t>Registos da manuentação</t>
  </si>
  <si>
    <t>DATA DE INÍCIO DO PERÍODO (DD/MM/AAAA)</t>
  </si>
  <si>
    <t>DATA DE CONCLUSÃO DO PERÍODO (DD/MM/AAAA)</t>
  </si>
  <si>
    <t>ETAPA 2: IDENTIFICAÇÃO DO PERÍODO DE REPORTE</t>
  </si>
  <si>
    <t>ETAPA 3: RECOLHA E PREENCHIMENTO DE DADOS</t>
  </si>
  <si>
    <t>FATORES DE EMISSÃO</t>
  </si>
  <si>
    <t>FONTE DE INFORMAÇÃO</t>
  </si>
  <si>
    <t>Eletricidade [C4]</t>
  </si>
  <si>
    <t>F1</t>
  </si>
  <si>
    <t>F2</t>
  </si>
  <si>
    <t>Comercializador de energia</t>
  </si>
  <si>
    <t>F3</t>
  </si>
  <si>
    <t>F4</t>
  </si>
  <si>
    <t>F5</t>
  </si>
  <si>
    <t>F6</t>
  </si>
  <si>
    <t>Gás natural [C1]</t>
  </si>
  <si>
    <t>Gás propano/GPL [C2]</t>
  </si>
  <si>
    <t>Gasóleo (não rodoviário) [C3]</t>
  </si>
  <si>
    <t>Gasóleo [C5]</t>
  </si>
  <si>
    <t>F7</t>
  </si>
  <si>
    <t>Gasolina [C6]</t>
  </si>
  <si>
    <t>Eletricidade [C4 | E2.1]</t>
  </si>
  <si>
    <t>ASSUNÇÕES</t>
  </si>
  <si>
    <t xml:space="preserve">[Emissão fugitiva] Consumo do gás, nos 12 meses do período de reporte, em quilogramas (kg). </t>
  </si>
  <si>
    <t>PERÍODO DE REPORTE E CÁLCULO</t>
  </si>
  <si>
    <t>RESULTADOS</t>
  </si>
  <si>
    <t>Consumo de energia por área de reuniões &amp; eventos</t>
  </si>
  <si>
    <t>ENERGIA</t>
  </si>
  <si>
    <t>ENERGIA RENOVÁVEL</t>
  </si>
  <si>
    <t>Consumo total de energia renovável</t>
  </si>
  <si>
    <t>%</t>
  </si>
  <si>
    <t>GEE</t>
  </si>
  <si>
    <t>PROJEÇÃO BAU</t>
  </si>
  <si>
    <t>PROJEÇÃO COM MEDIDAS DE REDUÇÃO</t>
  </si>
  <si>
    <t>O período de reporte de dados (e cálculo das emissões de GEE) tem de compreender 12 meses, sugerindo-se a adoção do ano civil.</t>
  </si>
  <si>
    <t>O rigor dos resultados é função da qualidade dos dados de base. Verifique se inseriu todos os dados solicitados. Dados omissos comprometem os resultados do inventário.</t>
  </si>
  <si>
    <t>ETAPA 4: CÁLCULO DAS EMISSÕES DE GEE NO PERÍODO DE REPORTE</t>
  </si>
  <si>
    <t>IPCC Guidelines, 2006</t>
  </si>
  <si>
    <t>AIB (Association of Issuing Bodies), European Residual Mixes 2019, 2020, em CO2, corrigido para CO2 com fator de conversão extraído de APA, National Inventory Report, 2020</t>
  </si>
  <si>
    <t>Consumo de Energia</t>
  </si>
  <si>
    <t>Gasóleo</t>
  </si>
  <si>
    <t>HCFC-22/R22</t>
  </si>
  <si>
    <t>HFC-152</t>
  </si>
  <si>
    <t>HFC-236cb</t>
  </si>
  <si>
    <t>Outros gases refrigerantes:</t>
  </si>
  <si>
    <t>Lavandaria externa</t>
  </si>
  <si>
    <t>Consumo Total</t>
  </si>
  <si>
    <t>Áreas Privadas</t>
  </si>
  <si>
    <t>Sobre GEET</t>
  </si>
  <si>
    <t>Como utilizar GEET</t>
  </si>
  <si>
    <t>Peso da energia renovável no consumo total de energia</t>
  </si>
  <si>
    <t>II.</t>
  </si>
  <si>
    <t>Kg</t>
  </si>
  <si>
    <t>Area privada</t>
  </si>
  <si>
    <t>Área condicionada</t>
  </si>
  <si>
    <t>% de área privada</t>
  </si>
  <si>
    <t>TOTAL</t>
  </si>
  <si>
    <t>Metano</t>
  </si>
  <si>
    <t>Óxido diazoto</t>
  </si>
  <si>
    <t>HFC-134</t>
  </si>
  <si>
    <t>Trifluoreto de azoto</t>
  </si>
  <si>
    <t>Gás</t>
  </si>
  <si>
    <t>GWP</t>
  </si>
  <si>
    <t>Kg CO2e</t>
  </si>
  <si>
    <t>Gasolina</t>
  </si>
  <si>
    <t>Transporte</t>
  </si>
  <si>
    <t>TOTAL Consumo Energia</t>
  </si>
  <si>
    <r>
      <t>m</t>
    </r>
    <r>
      <rPr>
        <vertAlign val="superscript"/>
        <sz val="12"/>
        <color theme="1"/>
        <rFont val="Calibri"/>
        <family val="2"/>
        <scheme val="minor"/>
      </rPr>
      <t>2</t>
    </r>
  </si>
  <si>
    <t>(NOTA: Reporte os dados relativos aos consumos de energia selecionando a unidade pela qual é faturado o consumo, ou a unidade pela qual o consumo é medido)</t>
  </si>
  <si>
    <r>
      <t>Valor calculado. Fatore de conversão (m</t>
    </r>
    <r>
      <rPr>
        <vertAlign val="superscript"/>
        <sz val="11"/>
        <rFont val="Calibri (corpo)"/>
      </rPr>
      <t>3</t>
    </r>
    <r>
      <rPr>
        <sz val="11"/>
        <rFont val="Calibri"/>
        <family val="2"/>
        <scheme val="minor"/>
      </rPr>
      <t xml:space="preserve"> para kWh): 11,424</t>
    </r>
  </si>
  <si>
    <r>
      <t>Valor calculado. Fatores de conversão: (kg para kWh) 12,86; (m</t>
    </r>
    <r>
      <rPr>
        <vertAlign val="superscript"/>
        <sz val="11"/>
        <rFont val="Calibri (corpo)"/>
      </rPr>
      <t>3</t>
    </r>
    <r>
      <rPr>
        <sz val="11"/>
        <rFont val="Calibri"/>
        <family val="2"/>
        <scheme val="minor"/>
      </rPr>
      <t xml:space="preserve"> para kWh) 23,91 (considerando o Poder Calorífico Inferior (PCI)</t>
    </r>
  </si>
  <si>
    <t>Consumo total (l)</t>
  </si>
  <si>
    <t>Eletricidade kWh</t>
  </si>
  <si>
    <t>Total Mobile Kg CO2e</t>
  </si>
  <si>
    <t>Total Gas Refrig (1%)</t>
  </si>
  <si>
    <t>EMEP/EEA Guidebook, 2016</t>
  </si>
  <si>
    <t>E2.3</t>
  </si>
  <si>
    <t>E2.4</t>
  </si>
  <si>
    <t>Gasóleo (litros)</t>
  </si>
  <si>
    <t>Eletricidade (kWh)</t>
  </si>
  <si>
    <t>Gás Natural (kWh)</t>
  </si>
  <si>
    <t>Propano/GPL (kWh)</t>
  </si>
  <si>
    <t>Resultado Final</t>
  </si>
  <si>
    <t>Área Quartos</t>
  </si>
  <si>
    <t>Área Eventos</t>
  </si>
  <si>
    <t>Área Quartos + Eventos</t>
  </si>
  <si>
    <t>Gasóleo (kWh)</t>
  </si>
  <si>
    <t>kWh/l</t>
  </si>
  <si>
    <t>MWh</t>
  </si>
  <si>
    <t>Emissões</t>
  </si>
  <si>
    <t>FINAL</t>
  </si>
  <si>
    <r>
      <t>kWh/m</t>
    </r>
    <r>
      <rPr>
        <vertAlign val="superscript"/>
        <sz val="12"/>
        <color theme="1"/>
        <rFont val="Calibri"/>
        <family val="2"/>
        <scheme val="minor"/>
      </rPr>
      <t>2</t>
    </r>
    <r>
      <rPr>
        <sz val="12"/>
        <color theme="1"/>
        <rFont val="Calibri"/>
        <family val="2"/>
        <scheme val="minor"/>
      </rPr>
      <t>.dia</t>
    </r>
  </si>
  <si>
    <t>Emissões por área reuniões &amp; eventos por dia</t>
  </si>
  <si>
    <t>ou</t>
  </si>
  <si>
    <t>Gasolina (kWh)</t>
  </si>
  <si>
    <t>Total</t>
  </si>
  <si>
    <t>Autocons.</t>
  </si>
  <si>
    <t>Renováveis</t>
  </si>
  <si>
    <r>
      <t>Valor calculado. Fator de conversão (m</t>
    </r>
    <r>
      <rPr>
        <vertAlign val="superscript"/>
        <sz val="11"/>
        <rFont val="Calibri (corpo)"/>
      </rPr>
      <t>3</t>
    </r>
    <r>
      <rPr>
        <sz val="11"/>
        <rFont val="Calibri"/>
        <family val="2"/>
        <scheme val="minor"/>
      </rPr>
      <t xml:space="preserve"> para kWh): 11,424</t>
    </r>
  </si>
  <si>
    <t>Energia elétrica e/ou calor renovável produzidos numa unidade de produção para Autoconsumo. Não inclui a energia produzida injetada / vendida à rede elétrica.</t>
  </si>
  <si>
    <t>QE1.1</t>
  </si>
  <si>
    <t>QE1.2</t>
  </si>
  <si>
    <t>QE2.2</t>
  </si>
  <si>
    <t>Faturas do fornecedor</t>
  </si>
  <si>
    <t>Faturas do fornecedor ou extrato do cartão frota</t>
  </si>
  <si>
    <t>Certificado de garantias de origem ou documento contratual equivalente</t>
  </si>
  <si>
    <t>Registos dos contadores de energia</t>
  </si>
  <si>
    <t>B1</t>
  </si>
  <si>
    <t>n.º de noites</t>
  </si>
  <si>
    <t>Pegada carbónica total do cliente</t>
  </si>
  <si>
    <t>Área afeta ao(s) evento(s)/reunião(ões) do cliente</t>
  </si>
  <si>
    <t>Duração do(s) evento(s)/reunião(ões)</t>
  </si>
  <si>
    <r>
      <t xml:space="preserve">Área total </t>
    </r>
    <r>
      <rPr>
        <sz val="12"/>
        <color theme="1"/>
        <rFont val="Calibri"/>
        <family val="2"/>
        <scheme val="minor"/>
      </rPr>
      <t>condicionada</t>
    </r>
  </si>
  <si>
    <t>Duração (total) da(s) reunião(ões)/evento(s), em horas</t>
  </si>
  <si>
    <t>Pegada carbónica do(s) evento(s)/reunião(ões)</t>
  </si>
  <si>
    <t xml:space="preserve">ANO HORIZONTE DE PROJEÇÃO </t>
  </si>
  <si>
    <t>I.</t>
  </si>
  <si>
    <t>Igual ao BAU</t>
  </si>
  <si>
    <t>D1+D2</t>
  </si>
  <si>
    <t>Consumo de eletricidade de origem renovável</t>
  </si>
  <si>
    <t>Energia renovável</t>
  </si>
  <si>
    <t>OBSERVAÇÕES</t>
  </si>
  <si>
    <t>CENÁRIOS FUTUROS DE MEDIDAS</t>
  </si>
  <si>
    <t>Direção comercial/vendas</t>
  </si>
  <si>
    <t>SUPORTE | FONTE DE INFORMAÇÃO</t>
  </si>
  <si>
    <t>Fator médio utilizado na distribuição de GN em Portugal (considerando um PCS de 11,9 e um FCV de 0,96)</t>
  </si>
  <si>
    <t>REN, Valores de referência</t>
  </si>
  <si>
    <t>EUR</t>
  </si>
  <si>
    <t>P1</t>
  </si>
  <si>
    <t>Preço interno do carbono</t>
  </si>
  <si>
    <t>GASES REFRIGERANTES</t>
  </si>
  <si>
    <t>ÁREAS ET</t>
  </si>
  <si>
    <t>Lavandaria ext.</t>
  </si>
  <si>
    <t>Projeção BAU</t>
  </si>
  <si>
    <t>Fator aumento</t>
  </si>
  <si>
    <t>nº quartos ocupados</t>
  </si>
  <si>
    <t>C1 + A transição para equipamentos elétricos (ex. para aquecimento de águas sanitárias e aquecimento de águas de piscinas, para confeção de alimentos) reduz o consumo de combustíveis fósseis em 50%</t>
  </si>
  <si>
    <t>C1 + A transição para equipamentos elétricos (ex. para aquecimento de águas sanitárias e aquecimento de águas de piscinas, para confeção de alimentos) reduz o consumo de combustíveis fósseis em 100%</t>
  </si>
  <si>
    <t xml:space="preserve"> Promoção da eficiência energética </t>
  </si>
  <si>
    <t>Reduç. consumos</t>
  </si>
  <si>
    <t>Eletrificação</t>
  </si>
  <si>
    <t>% de Renováveis</t>
  </si>
  <si>
    <t>Fator emissão elec.</t>
  </si>
  <si>
    <t>kg CO2e /kWh</t>
  </si>
  <si>
    <t>Fator rede</t>
  </si>
  <si>
    <t>Novo FE elec</t>
  </si>
  <si>
    <t>Projeção c/Medidas (C1)</t>
  </si>
  <si>
    <t>Projeção c/Medidas (C2)</t>
  </si>
  <si>
    <t>Valorização da redução das emissões por área reuniões &amp; eventos por dia face ao cenário BAU</t>
  </si>
  <si>
    <t>t/ano</t>
  </si>
  <si>
    <t>EE</t>
  </si>
  <si>
    <t>Eficiência energética (C1) &amp; Eletrificação (50%)</t>
  </si>
  <si>
    <t>Eficiência energética (C1) &amp; Eletrificação (100%)</t>
  </si>
  <si>
    <t>Eletricidade produzida a partir de fontes renováveis aquirida a um comercializador/fornecedor de energia, nos 12 meses do período de reporte, e que tem por base uma relação contratual que explicita expressamente a sua origem renovável e que está certificada por certificados de garantias de origem (GO) na posse do comercializador (este consumo está incluído no total referido em C1).</t>
  </si>
  <si>
    <t>ETAPA 1: IDENTIFICAÇÃO DO EMPREENDIMENTO TURÍSTICO</t>
  </si>
  <si>
    <t>Área total ocupada por o cliente para a realização de uma, ou mais, reuniões/eventos, em metros quadrados</t>
  </si>
  <si>
    <t>Considera-se a evolução do mix de produção de energia elétrica em Portugal continental, estabelecida para o ano projetado, no Roteiro para a Neutralidade Carbónica 2050</t>
  </si>
  <si>
    <t>Caso não disponha de  melhor informação, multiplique o fator de emissão (FE) do seu comercializador [folha "DADOS_INVENTÁRIO"] pelo fator 0,41 (relação entre FE da rede nacional em 2019 e FE projetado para 2030, em F7, linha 23)</t>
  </si>
  <si>
    <t>Versão:</t>
  </si>
  <si>
    <t>0.1</t>
  </si>
  <si>
    <t xml:space="preserve">© 2021 NOVA </t>
  </si>
  <si>
    <t xml:space="preserve">Portaria n.º 277/2020 de 4 de dezembro, que regula o valor da taxa de carbono em Portugal </t>
  </si>
  <si>
    <t>Report of the High Commission on Carbon Prices (2017); valor médio do intervalo de preços apontado como necessário para alinhar o sistema económico com o acordo de Paris, em 2030 (US$50–100/tCO2)</t>
  </si>
  <si>
    <t xml:space="preserve">n.º </t>
  </si>
  <si>
    <t>PARA SABER MAIS SOBRE ESTA FOLHA ( linha 82 )</t>
  </si>
  <si>
    <t>Total Gas Ref (4 principais)</t>
  </si>
  <si>
    <t>Total outros</t>
  </si>
  <si>
    <t>NOME DO CLIENTE</t>
  </si>
  <si>
    <t>Número de unidades de alojamento adquiridas pelo cliente multiplicado pelo número de noites</t>
  </si>
  <si>
    <t>Emissões totais das unidades de alojamento</t>
  </si>
  <si>
    <t>Emissões totais das reuniões &amp; eventos</t>
  </si>
  <si>
    <t>Emissões por unidade de alojamento ocupada por noite</t>
  </si>
  <si>
    <t>Consumo de energia por unidade de alojamento por noite</t>
  </si>
  <si>
    <t>Emissões por área de reuniões &amp; eventos por dia</t>
  </si>
  <si>
    <t>kWh/UA.noite</t>
  </si>
  <si>
    <t>Consumo médio de energia, em Quilowatt-hora (kWh) por unidade de alojamento (UA) ocupada por noite, no ano de reporte</t>
  </si>
  <si>
    <r>
      <t>Consumo médio de energia, em Quilowatt-hora (kWh) por metro quadrado (m</t>
    </r>
    <r>
      <rPr>
        <vertAlign val="superscript"/>
        <sz val="11"/>
        <color theme="1"/>
        <rFont val="Calibri (corpo)"/>
      </rPr>
      <t>2</t>
    </r>
    <r>
      <rPr>
        <sz val="11"/>
        <color theme="1"/>
        <rFont val="Calibri"/>
        <family val="2"/>
        <scheme val="minor"/>
      </rPr>
      <t>) de espaço de reuniões/eventos, numa base diária, no ano de reporte</t>
    </r>
  </si>
  <si>
    <t>PARA SABER MAIS SOBRE ESTA FOLHA ( linha 218)</t>
  </si>
  <si>
    <t>Unidades de alojamento ocupadas</t>
  </si>
  <si>
    <t>Estimativa do número de unidades de alojamento (UA) ocupadas, no ano projetado</t>
  </si>
  <si>
    <t>n.º UA</t>
  </si>
  <si>
    <t>Emissões totais de reuniões &amp; eventos</t>
  </si>
  <si>
    <t>Medidas de eficiência energética (ex., substituição de equipamentos e/ou gestão e alteração de comportamentos) e/ou medidas passivas (ex. isolamento térmico, substituição de janelas e caixilarias, sombreamentos) reduzem as necessidades de consumo de energia no estabelecimento turístico em 15%, no ano projetado</t>
  </si>
  <si>
    <t>Medidas de eficiência energética (ex., substituição de equipamentos e/ou gestão e alteração de comportamentos) e/ou medidas passivas (ex. isolamento térmico, substituição de janelas e caixilarias, sombreamentos) reduzem as necessidades de consumo de energia no estabelecimento turístico em 25%, no ano projetado</t>
  </si>
  <si>
    <t>Medidas de eficiência energética (ex., substituição de equipamentos e/ou gestão e alteração de comportamentos) e/ou medidas passivas (ex. isolamento térmico, substituição de janelas e caixilarias, sombreamentos) reduzem as necessidades de consumo de energia no estabelecimento turístico em 35%, no ano projetado</t>
  </si>
  <si>
    <t>Emissões totais das unidade de alojamento</t>
  </si>
  <si>
    <t>Valorização da redução das emissões por unidade de alojamento ocupada por noite face ao cenário BAU</t>
  </si>
  <si>
    <t>EUR/UA.noite</t>
  </si>
  <si>
    <t>Valorização da redução de emissões por unidade de alojamento (UA) ocupada, numa base diária e assumindo o preço interno de carbono estabelecido (P1), no ano projetado e para o cenário C1, em Euros por UA ocupada por noite</t>
  </si>
  <si>
    <t>Valorização da redução de emissões por unidade de alojamento (UA) ocupada, numa base diária e assumindo o preço interno de carbono estabelecido (P1), no ano projetado e para o cenário C2, em Euros por UA ocupada por noite</t>
  </si>
  <si>
    <t>Área total de unidades de alojamento e corredores</t>
  </si>
  <si>
    <t>Número de unidades de alojamento</t>
  </si>
  <si>
    <r>
      <t xml:space="preserve">Número de unidades de alojamento (UA) </t>
    </r>
    <r>
      <rPr>
        <sz val="11"/>
        <color theme="1"/>
        <rFont val="Calibri"/>
        <family val="2"/>
        <scheme val="minor"/>
      </rPr>
      <t>ocupadas, durante os 12 meses do período de reporte. Corresponde ao número total de UA vendidas, menos (-) os "no-shows" (UA vendidas que não foram ocupadas), mais (+) o número total de UA de cortesia (UA não pagas que foram ocupadas).</t>
    </r>
  </si>
  <si>
    <t>NOME DO ESTABELECIMENTO</t>
  </si>
  <si>
    <t>Caracterização da infraestrutura do estabelecimento. Este conjunto de dados é estavel, no tempo.</t>
  </si>
  <si>
    <t>Caracterização da intensidade da atividade do estabelecimento, ao longo dos 12 meses do período de reporte.</t>
  </si>
  <si>
    <t>Caracterização das principais fontes de emissão de GEE do estabelecimento, ao longo dos 12 meses do período de reporte.</t>
  </si>
  <si>
    <t>Consulte os resultados das emissões de Âmbito 1 e Âmbito 2 do estabelecimento na folha "Resultados". Esta folha de cálculo efetua automaticamente o cálculo destas emissões, a partir dos dados aqui inseridos.</t>
  </si>
  <si>
    <t>[Combustão fixa] Consumo total de gasóleo (não rodoviário) no estabelecimento (por ex., gasóleo de aquecimento), durante os 12 meses do período de reporte, em litros.</t>
  </si>
  <si>
    <t>[Combustão móvel] Consumo total de gasóleo pelos veículos que integram a frota do estabelecimento ou por veículos em leasing / aluguer de longa duração, durante os 12 meses do período de reporte, em litros.</t>
  </si>
  <si>
    <t>[Combustão móvel] Consumo total de gasolina pelos veículos que integram a frota do estabelecimento ou por veículos em leasing  / aluguer de longa duração, durante os 12 meses do período de reporte, em litros.</t>
  </si>
  <si>
    <t>Emissões totais do estabelecimento</t>
  </si>
  <si>
    <t>Consumo total de energia renovável no estabelecimento, no ano de reporte, em Megawatt-hora (MWh)</t>
  </si>
  <si>
    <t>Percentagem do consumo total de energia no estabelecimento que tem origem em fontes renováveis, no período de reporte</t>
  </si>
  <si>
    <t>Percentagem do consumo de eletricidade do estabelecimento que, no ano projetado, é de origem renovável. Integra a compra de energia renovável e/ou o autoconsumo de energia renovável, no ano projetado</t>
  </si>
  <si>
    <t>Preço sombra (em euros) para uma tonelada de dióxido de carbono equivalente emitida/evitada, a assumir, internamente, pelo estabelecimento no contexto da análise da viabilidade de potenciais medidas de redução</t>
  </si>
  <si>
    <t>Redução relativa das emissões totais do estabelecimento, no ano projetado e para o cenário C1, em relação ao cenário BAU</t>
  </si>
  <si>
    <t>Valorização da redução das emissões totais do estabelecimento, assumindo o preço interno de carbono estabelecido (P1), no ano projetado e para o cenário C1, em Euros</t>
  </si>
  <si>
    <t>Relação do consumo de energia elétrica de origem renovável  (compra específica de energia renovável e/ou o autoconsumo de energia renovável) com o consumo total de energia do estabelecimento, para o cenário C1</t>
  </si>
  <si>
    <t>Redução relativa das emissões totais do estabelecimento, no ano projetado e para o cenário C2, em relação ao cenário BAU</t>
  </si>
  <si>
    <t>Valorização da redução das emissões totais do estabelecimento, assumindo o preço interno de carbono estabelecido (P1), no ano projetado e para o cenário C2, em Euros</t>
  </si>
  <si>
    <t>Relação do consumo de energia elétrica de origem renovável  (compra específica de energia renovável e/ou o autoconsumo de energia renovável) com o consumo total de energia do estabelecimento, para o cenário C2</t>
  </si>
  <si>
    <t>Redução das emissões totais do estabelecimento face ao cenário BAU</t>
  </si>
  <si>
    <t>Valorização da redução das emissões totais do estabelecimento face ao cenário BAU</t>
  </si>
  <si>
    <r>
      <t xml:space="preserve">A. DADOS SOBRE O </t>
    </r>
    <r>
      <rPr>
        <b/>
        <sz val="14"/>
        <color theme="0"/>
        <rFont val="Calibri (corpo)_x0000_"/>
      </rPr>
      <t>ESTABELECIMENTO</t>
    </r>
  </si>
  <si>
    <r>
      <t xml:space="preserve">B. DADOS SOBRE A </t>
    </r>
    <r>
      <rPr>
        <b/>
        <sz val="14"/>
        <color theme="0"/>
        <rFont val="Calibri (corpo)_x0000_"/>
      </rPr>
      <t>ATIVIDADE</t>
    </r>
    <r>
      <rPr>
        <sz val="12"/>
        <color theme="0"/>
        <rFont val="Calibri"/>
        <family val="2"/>
        <scheme val="minor"/>
      </rPr>
      <t xml:space="preserve"> DO ESTABELECIMENTO</t>
    </r>
  </si>
  <si>
    <r>
      <t>[Combustão fixa] Consumo total de gás natural no estabelecimento, durante os 12 meses do período de reporte. Efetue o reporte do consumo em kWh, tal como está referido na sua fatura; se não for possível utlizar dados de faturas, utilize o consumo medido em metros cúbicos (m</t>
    </r>
    <r>
      <rPr>
        <vertAlign val="superscript"/>
        <sz val="11"/>
        <rFont val="Calibri (corpo)"/>
      </rPr>
      <t>3</t>
    </r>
    <r>
      <rPr>
        <sz val="11"/>
        <rFont val="Calibri"/>
        <family val="2"/>
        <scheme val="minor"/>
      </rPr>
      <t>).</t>
    </r>
  </si>
  <si>
    <t>Este conjunto de dados visa caracterizar o consumo de energia renovável do estabelecimento, ao longo dos 12 meses do período de reporte</t>
  </si>
  <si>
    <t>ESPAÇO(S) RESERVADO(S)</t>
  </si>
  <si>
    <t>SUPORTE DE INFORMAÇÃO &amp; NOTA</t>
  </si>
  <si>
    <t>DADOS SOBRE AS FONTES DE EMISSÃO DO(S) ESPAÇO(S) RESERVADO(S)</t>
  </si>
  <si>
    <t>Consumo de eletricidade no espaço reservado</t>
  </si>
  <si>
    <t>Consumo de gás natural no espaço reservado</t>
  </si>
  <si>
    <t>Consumo de gás propano e GPL no espaço reservado</t>
  </si>
  <si>
    <t>Consumo de gasóleo não rodoviário no espaço reservado</t>
  </si>
  <si>
    <t>[Combustão fixa] Consumo total de gás natural no espaço reservado, durante os 12 meses do período de reporte. Efetue o reporte do consumo em kWh, tal como está referido na sua fatura; se não for possível utlizar dados de faturas, utilize o consumo medido em metros cúbicos (m3).</t>
  </si>
  <si>
    <t>Eletricidade consumida no espaço reservado, durante os 12 meses do período de reporte, comprada a um comercializador de energia. Reporte o somatório dos consumos em vazio, ponta, cheia e super vazio, em kWh.</t>
  </si>
  <si>
    <t>[Combustão fixa] Consumo total de gás propano / GPL no espaço reservado, durante os 12 meses do período de reporte. Efetue o reporte do consumo na unidade em que é efetuada a leitura do mesmo ou em que é faturado, selecionando metros cúbicos (m3) ou kilogramas (kg), exceto quando a fatura do S/ fornecedor de energia efetuar a conversão do consumo para kWh; nesse caso, efetue o reporte do consumo de propano ou GPL em kWh.</t>
  </si>
  <si>
    <t>[Combustão fixa] Consumo de gasóleo (não rodoviário) no espaço reservado, durante os 12 meses do período de reporte, em litros.</t>
  </si>
  <si>
    <t>Total de eletricidade consumida no estabelecimento, durante os 12 meses do período de reporte, comprada a um comercializador de energia. Reporte o somatório dos consumos de energia ativa em vazio, ponta, cheia e super vazio, em quilowatt-hora (kWh).</t>
  </si>
  <si>
    <t>Eletricidade consumida em postos de carregamento instalados fora do estabelecimento pelos veículos elétricos e/ou híbridos que integram a frota própria ou por veículos em leasing  / aluguer de longa duração, durante os 12 meses do período de reporte, em quilowatt-hora (kWh).</t>
  </si>
  <si>
    <t>Este conjunto de dados concerne à caracterização das principais fontes de emissão de GEE do(s) espaço(s) reservado(s), ao longo dos 12 meses do período de reporte</t>
  </si>
  <si>
    <t>Preencha os dados relativos ao consumo de energia dos espaços reservados, caso seja possível individualizá-los relativamente ao consumo total do estabelecimento (por ex., porque existe(m) contador(es) próprio(s) ou estão instalados medidores do consumo de energia). Quando se tratam de espaços reservados apenas num período específico (ex. 3 meses), durante os 12 meses de reporte, os dados de consumo devem referir-se exclusivamente a esse período específico (ex. aos 3 meses)</t>
  </si>
  <si>
    <t>Os equipamentos fixos de refrigeração, ar condicionado e/ou bombas de calor do estabelecimento utilizam algum dos seguintes gases fluorados: R-22; R-134A, R404A ou R-410A?</t>
  </si>
  <si>
    <r>
      <t>Valor calculado. Fatores de conversão: (kg para kWh) 12,86; (m</t>
    </r>
    <r>
      <rPr>
        <vertAlign val="superscript"/>
        <sz val="11"/>
        <rFont val="Calibri (corpo)"/>
      </rPr>
      <t>3</t>
    </r>
    <r>
      <rPr>
        <sz val="11"/>
        <rFont val="Calibri"/>
        <family val="2"/>
        <scheme val="minor"/>
      </rPr>
      <t xml:space="preserve"> para kWh) 23,91 (considerando o Poder Calorífico Inferior (PCI).</t>
    </r>
  </si>
  <si>
    <r>
      <t>Área total afeta a salas de reuniões/eventos (incluindo foyers, se aplicável), em metros quadrados (m</t>
    </r>
    <r>
      <rPr>
        <vertAlign val="superscript"/>
        <sz val="11"/>
        <color theme="1"/>
        <rFont val="Calibri"/>
        <family val="2"/>
        <scheme val="minor"/>
      </rPr>
      <t>2</t>
    </r>
    <r>
      <rPr>
        <sz val="11"/>
        <color theme="1"/>
        <rFont val="Calibri"/>
        <family val="2"/>
        <scheme val="minor"/>
      </rPr>
      <t>)</t>
    </r>
    <r>
      <rPr>
        <sz val="11"/>
        <color theme="1"/>
        <rFont val="Calibri"/>
        <family val="2"/>
        <scheme val="minor"/>
      </rPr>
      <t>.</t>
    </r>
  </si>
  <si>
    <t>Número total de unidades de alojamento do estabelecimento.</t>
  </si>
  <si>
    <r>
      <t>Área total do estabelecimento que é condicionada, seja através de sistemas naturais ou mecânicos (por ex., sistema de ventilação, sistema de aquecimento, AVAC, ar-condicionados), em metros quadrados (m</t>
    </r>
    <r>
      <rPr>
        <vertAlign val="superscript"/>
        <sz val="11"/>
        <color theme="1"/>
        <rFont val="Calibri (Body)"/>
      </rPr>
      <t>2</t>
    </r>
    <r>
      <rPr>
        <sz val="11"/>
        <color theme="1"/>
        <rFont val="Calibri"/>
        <family val="2"/>
        <scheme val="minor"/>
      </rPr>
      <t>).</t>
    </r>
  </si>
  <si>
    <r>
      <t>Área total de unidades de alojamento e de corredores do estabelecimento, em metros quadrados (m</t>
    </r>
    <r>
      <rPr>
        <vertAlign val="superscript"/>
        <sz val="11"/>
        <color theme="1"/>
        <rFont val="Calibri (Body)"/>
      </rPr>
      <t>2</t>
    </r>
    <r>
      <rPr>
        <sz val="11"/>
        <color theme="1"/>
        <rFont val="Calibri"/>
        <family val="2"/>
        <scheme val="minor"/>
      </rPr>
      <t>).</t>
    </r>
  </si>
  <si>
    <t>No estabelecimento, existem espaços que são reservados, i.e., espaços que se encontram interditos a hóspedes e participantes em reuniões/eventos?</t>
  </si>
  <si>
    <r>
      <t>Planta(s) do estabelecimento e Memória descritiva. No caso de existirem espaços reservados que apenas o são temporariamente, ao longo do período de reporte, a área (m</t>
    </r>
    <r>
      <rPr>
        <vertAlign val="superscript"/>
        <sz val="11"/>
        <color theme="1"/>
        <rFont val="Calibri (Body)"/>
      </rPr>
      <t>2</t>
    </r>
    <r>
      <rPr>
        <sz val="11"/>
        <color theme="1"/>
        <rFont val="Calibri"/>
        <family val="2"/>
        <scheme val="minor"/>
      </rPr>
      <t>) a reportar deve corresponder à área total desses espaços multiplicada pelo peso relativo do tempo em que estão reservados (ex. se são espaços reservados durante 3 meses, em 12 meses, a área total desses espaços reservados deve ser multiplicada por 3/12).</t>
    </r>
  </si>
  <si>
    <t>Planta(s) do estabelecimento e Memória descritiva</t>
  </si>
  <si>
    <r>
      <t>[Combustão fixa] Consumo total de gás propano / GPL no estabelecimento, durante os 12 meses do período de reporte. Efetue o reporte do consumo na unidade em que é efetuada a leitura do mesmo ou em que é faturado, selecionando metros cúbicos (m</t>
    </r>
    <r>
      <rPr>
        <vertAlign val="superscript"/>
        <sz val="11"/>
        <rFont val="Calibri (Body)"/>
      </rPr>
      <t>3</t>
    </r>
    <r>
      <rPr>
        <sz val="11"/>
        <rFont val="Calibri"/>
        <family val="2"/>
        <scheme val="minor"/>
      </rPr>
      <t>) ou kilogramas (kg), exceto quando a fatura do S/ fornecedor de energia efetuar a conversão do consumo para quilowatt-hora (kWh); nesse caso, efetue o reporte do consumo de propano ou GPL em kWh.</t>
    </r>
  </si>
  <si>
    <t xml:space="preserve"> Promoção da eficiência energética &amp; eletrificação</t>
  </si>
  <si>
    <r>
      <t>EUR/m</t>
    </r>
    <r>
      <rPr>
        <vertAlign val="superscript"/>
        <sz val="12"/>
        <color theme="1"/>
        <rFont val="Calibri (Body)"/>
      </rPr>
      <t>2</t>
    </r>
    <r>
      <rPr>
        <sz val="12"/>
        <color theme="1"/>
        <rFont val="Calibri"/>
        <family val="2"/>
        <scheme val="minor"/>
      </rPr>
      <t>.dia</t>
    </r>
  </si>
  <si>
    <r>
      <t>Valorização da redução de emissões por área de espaço de reuniões/eventos, numa base diária e assumindo o preço interno de carbono estabelecido (P1), no ano projetado e para o cenário C1, em Euros por metro quadrado (m</t>
    </r>
    <r>
      <rPr>
        <vertAlign val="superscript"/>
        <sz val="11"/>
        <color theme="1"/>
        <rFont val="Calibri (Body)"/>
      </rPr>
      <t>2</t>
    </r>
    <r>
      <rPr>
        <sz val="11"/>
        <color theme="1"/>
        <rFont val="Calibri"/>
        <family val="2"/>
        <scheme val="minor"/>
      </rPr>
      <t>) por dia</t>
    </r>
  </si>
  <si>
    <r>
      <t>Valorização da redução de emissões por área de espaço de reuniões/eventos, numa base diária e assumindo o preço interno de carbono estabelecido (P1), no ano projetado e para o cenário C2, em Euros por metro quadrado (m</t>
    </r>
    <r>
      <rPr>
        <vertAlign val="superscript"/>
        <sz val="11"/>
        <color theme="1"/>
        <rFont val="Calibri (Body)"/>
      </rPr>
      <t>2</t>
    </r>
    <r>
      <rPr>
        <sz val="11"/>
        <color theme="1"/>
        <rFont val="Calibri"/>
        <family val="2"/>
        <scheme val="minor"/>
      </rPr>
      <t>) por dia</t>
    </r>
  </si>
  <si>
    <t>Pegada carbónica da estada</t>
  </si>
  <si>
    <t>Estada do cliente</t>
  </si>
  <si>
    <t>Consegue saber, junto do prestador do serviço de lavandaria, qual o consumo de eletricidade, gás natural ou gasóleo associado ao serviço que presta ao estabelecimento?</t>
  </si>
  <si>
    <t>Espaço reservado pode incluir, por ex., unidades de alojamento em timeshare, salas arrendadas para escritórios, clubes reservados e zonas reservadas à acomodação de colaboradores do estabelecimento. Os espaços afetos a negócios que são geridos por uma entidade terceira (por ex., restaurantes, lojas, cabeleireiros, etc.) e sobre os quais o estabelecimento não tem qualquer controlo ou influência na gestão operacional, também são considerados reservados.</t>
  </si>
  <si>
    <r>
      <t>t CO</t>
    </r>
    <r>
      <rPr>
        <vertAlign val="subscript"/>
        <sz val="12"/>
        <color theme="1"/>
        <rFont val="Calibri (Body)"/>
      </rPr>
      <t>2</t>
    </r>
    <r>
      <rPr>
        <sz val="12"/>
        <color theme="1"/>
        <rFont val="Calibri (Body)"/>
      </rPr>
      <t>e</t>
    </r>
  </si>
  <si>
    <r>
      <t>kg CO</t>
    </r>
    <r>
      <rPr>
        <vertAlign val="subscript"/>
        <sz val="12"/>
        <color theme="1"/>
        <rFont val="Calibri (Body)"/>
      </rPr>
      <t>2</t>
    </r>
    <r>
      <rPr>
        <sz val="12"/>
        <color theme="1"/>
        <rFont val="Calibri (Body)"/>
      </rPr>
      <t>e</t>
    </r>
  </si>
  <si>
    <r>
      <t>kg CO</t>
    </r>
    <r>
      <rPr>
        <vertAlign val="subscript"/>
        <sz val="12"/>
        <color theme="1"/>
        <rFont val="Calibri (Body)"/>
      </rPr>
      <t>2</t>
    </r>
    <r>
      <rPr>
        <sz val="12"/>
        <color theme="1"/>
        <rFont val="Calibri (Body)"/>
      </rPr>
      <t>e</t>
    </r>
    <r>
      <rPr>
        <sz val="12"/>
        <color theme="1"/>
        <rFont val="Calibri"/>
        <family val="2"/>
        <scheme val="minor"/>
      </rPr>
      <t>/UA.noite</t>
    </r>
  </si>
  <si>
    <r>
      <t>kg CO</t>
    </r>
    <r>
      <rPr>
        <vertAlign val="subscript"/>
        <sz val="12"/>
        <color theme="1"/>
        <rFont val="Calibri (Body)"/>
      </rPr>
      <t>2</t>
    </r>
    <r>
      <rPr>
        <sz val="12"/>
        <color theme="1"/>
        <rFont val="Calibri (Body)"/>
      </rPr>
      <t>e</t>
    </r>
    <r>
      <rPr>
        <sz val="12"/>
        <color theme="1"/>
        <rFont val="Calibri"/>
        <family val="2"/>
        <scheme val="minor"/>
      </rPr>
      <t>/m</t>
    </r>
    <r>
      <rPr>
        <vertAlign val="superscript"/>
        <sz val="12"/>
        <color theme="1"/>
        <rFont val="Calibri"/>
        <family val="2"/>
        <scheme val="minor"/>
      </rPr>
      <t>2</t>
    </r>
    <r>
      <rPr>
        <sz val="12"/>
        <color theme="1"/>
        <rFont val="Calibri"/>
        <family val="2"/>
        <scheme val="minor"/>
      </rPr>
      <t>.dia</t>
    </r>
  </si>
  <si>
    <r>
      <t>kg CO</t>
    </r>
    <r>
      <rPr>
        <vertAlign val="subscript"/>
        <sz val="12"/>
        <color theme="1"/>
        <rFont val="Calibri (Body)"/>
      </rPr>
      <t>2</t>
    </r>
    <r>
      <rPr>
        <sz val="12"/>
        <color theme="1"/>
        <rFont val="Calibri (Body)"/>
      </rPr>
      <t>e</t>
    </r>
    <r>
      <rPr>
        <sz val="12"/>
        <color theme="1"/>
        <rFont val="Calibri"/>
        <family val="2"/>
        <scheme val="minor"/>
      </rPr>
      <t>/kWh</t>
    </r>
  </si>
  <si>
    <r>
      <t>EUR/tCO</t>
    </r>
    <r>
      <rPr>
        <vertAlign val="subscript"/>
        <sz val="12"/>
        <color theme="1"/>
        <rFont val="Calibri (Body)"/>
      </rPr>
      <t>2</t>
    </r>
    <r>
      <rPr>
        <sz val="12"/>
        <color theme="1"/>
        <rFont val="Calibri (Body)"/>
      </rPr>
      <t>e</t>
    </r>
  </si>
  <si>
    <r>
      <t>kg CO</t>
    </r>
    <r>
      <rPr>
        <vertAlign val="subscript"/>
        <sz val="12"/>
        <color theme="1"/>
        <rFont val="Calibri (Body)"/>
      </rPr>
      <t>2</t>
    </r>
    <r>
      <rPr>
        <sz val="12"/>
        <color theme="1"/>
        <rFont val="Calibri (Body)"/>
      </rPr>
      <t>e</t>
    </r>
    <r>
      <rPr>
        <sz val="12"/>
        <color theme="1"/>
        <rFont val="Calibri"/>
        <family val="2"/>
        <scheme val="minor"/>
      </rPr>
      <t>/m2.dia</t>
    </r>
  </si>
  <si>
    <r>
      <t>Kg CO</t>
    </r>
    <r>
      <rPr>
        <vertAlign val="subscript"/>
        <sz val="12"/>
        <rFont val="Calibri (Body)"/>
      </rPr>
      <t>2</t>
    </r>
    <r>
      <rPr>
        <sz val="12"/>
        <rFont val="Calibri (Body)"/>
      </rPr>
      <t>e</t>
    </r>
    <r>
      <rPr>
        <sz val="12"/>
        <rFont val="Calibri"/>
        <family val="2"/>
        <scheme val="minor"/>
      </rPr>
      <t>/kWh</t>
    </r>
  </si>
  <si>
    <r>
      <t>Kg CO</t>
    </r>
    <r>
      <rPr>
        <vertAlign val="subscript"/>
        <sz val="12"/>
        <rFont val="Calibri (Body)"/>
      </rPr>
      <t>2</t>
    </r>
    <r>
      <rPr>
        <sz val="12"/>
        <rFont val="Calibri (Body)"/>
      </rPr>
      <t>e</t>
    </r>
    <r>
      <rPr>
        <sz val="12"/>
        <rFont val="Calibri"/>
        <family val="2"/>
        <scheme val="minor"/>
      </rPr>
      <t>/l</t>
    </r>
  </si>
  <si>
    <r>
      <t>Emissão de GEE, em quilogramas (Kg) de dióxido de carbono equivalente (CO</t>
    </r>
    <r>
      <rPr>
        <vertAlign val="subscript"/>
        <sz val="11"/>
        <rFont val="Calibri (Body)"/>
      </rPr>
      <t>2</t>
    </r>
    <r>
      <rPr>
        <sz val="11"/>
        <rFont val="Calibri (Body)"/>
      </rPr>
      <t>e</t>
    </r>
    <r>
      <rPr>
        <sz val="11"/>
        <rFont val="Calibri"/>
        <family val="2"/>
        <scheme val="minor"/>
      </rPr>
      <t>) por quilowatt-hora (kWh) de energia elétrica consumida no estabelecimento.</t>
    </r>
  </si>
  <si>
    <r>
      <t>Emissão de GEE, em quilogramas (Kg) de dióxido de carbono equivalente (CO</t>
    </r>
    <r>
      <rPr>
        <vertAlign val="subscript"/>
        <sz val="11"/>
        <rFont val="Calibri (Body)"/>
      </rPr>
      <t>2</t>
    </r>
    <r>
      <rPr>
        <sz val="11"/>
        <rFont val="Calibri (Body)"/>
      </rPr>
      <t>e</t>
    </r>
    <r>
      <rPr>
        <sz val="11"/>
        <rFont val="Calibri"/>
        <family val="2"/>
        <scheme val="minor"/>
      </rPr>
      <t>) por quilowatt-hora (kWh) de gás natural consumido (base PCS, assumindo um PCS médio de 11,9 e um correspondente PCI de 10,755).</t>
    </r>
  </si>
  <si>
    <r>
      <t>Emissão de GEE, em quilogramas (Kg) de dióxido de carbono equivalente (CO</t>
    </r>
    <r>
      <rPr>
        <vertAlign val="subscript"/>
        <sz val="11"/>
        <rFont val="Calibri (Body)"/>
      </rPr>
      <t>2</t>
    </r>
    <r>
      <rPr>
        <sz val="11"/>
        <rFont val="Calibri (Body)"/>
      </rPr>
      <t>e</t>
    </r>
    <r>
      <rPr>
        <sz val="11"/>
        <rFont val="Calibri"/>
        <family val="2"/>
        <scheme val="minor"/>
      </rPr>
      <t>) por quilowatt-hora (kWh) de gás propano/GPL consumido.</t>
    </r>
  </si>
  <si>
    <r>
      <t>Emissão de GEE, em quilogramas (Kg) de dióxido de carbono equivalente (CO</t>
    </r>
    <r>
      <rPr>
        <vertAlign val="subscript"/>
        <sz val="11"/>
        <rFont val="Calibri (Body)"/>
      </rPr>
      <t>2</t>
    </r>
    <r>
      <rPr>
        <sz val="11"/>
        <rFont val="Calibri (Body)"/>
      </rPr>
      <t>e</t>
    </r>
    <r>
      <rPr>
        <sz val="11"/>
        <rFont val="Calibri"/>
        <family val="2"/>
        <scheme val="minor"/>
      </rPr>
      <t>) por litro (l) de gasóleo (não rodoviário) consumido.</t>
    </r>
  </si>
  <si>
    <r>
      <t>Emissão de GEE, em quilogramas (Kg) de dióxido de carbono equivalente (CO</t>
    </r>
    <r>
      <rPr>
        <vertAlign val="subscript"/>
        <sz val="11"/>
        <rFont val="Calibri (Body)"/>
      </rPr>
      <t>2</t>
    </r>
    <r>
      <rPr>
        <sz val="11"/>
        <rFont val="Calibri (Body)"/>
      </rPr>
      <t>e</t>
    </r>
    <r>
      <rPr>
        <sz val="11"/>
        <rFont val="Calibri"/>
        <family val="2"/>
        <scheme val="minor"/>
      </rPr>
      <t>) por quilowatt-hora (kWh) de gasóleo (rodoviário) consumido.</t>
    </r>
  </si>
  <si>
    <r>
      <t>Emissão de GEE, em quilogramas (Kg) de dióxido de carbono equivalente (CO</t>
    </r>
    <r>
      <rPr>
        <vertAlign val="subscript"/>
        <sz val="11"/>
        <rFont val="Calibri (Body)"/>
      </rPr>
      <t>2</t>
    </r>
    <r>
      <rPr>
        <sz val="11"/>
        <rFont val="Calibri (Body)"/>
      </rPr>
      <t>e</t>
    </r>
    <r>
      <rPr>
        <sz val="11"/>
        <rFont val="Calibri"/>
        <family val="2"/>
        <scheme val="minor"/>
      </rPr>
      <t>) por quilowatt-hora (kWh) de gasolina consumida.</t>
    </r>
  </si>
  <si>
    <r>
      <t>Emissão de GEE, em quilogramas (Kg) de dióxido de carbono equivalente (CO</t>
    </r>
    <r>
      <rPr>
        <vertAlign val="subscript"/>
        <sz val="11"/>
        <rFont val="Calibri (Body)"/>
      </rPr>
      <t>2</t>
    </r>
    <r>
      <rPr>
        <sz val="11"/>
        <rFont val="Calibri (Body)"/>
      </rPr>
      <t>e</t>
    </r>
    <r>
      <rPr>
        <sz val="11"/>
        <rFont val="Calibri"/>
        <family val="2"/>
        <scheme val="minor"/>
      </rPr>
      <t>) por quilowatt-hora (kWh) de energia elétrica consumida no carregamento dos veículos da frota e na lavandaria em serviço externo. Expresso como Residual Mix de âmbito nacional.</t>
    </r>
  </si>
  <si>
    <r>
      <t>Emissões de GEE associadas à(s) dormida(s) no estabelecimento, em quilogramas de dióxido de carbono equivalente (kg CO</t>
    </r>
    <r>
      <rPr>
        <vertAlign val="subscript"/>
        <sz val="11"/>
        <color theme="1"/>
        <rFont val="Calibri (corpo)"/>
      </rPr>
      <t>2</t>
    </r>
    <r>
      <rPr>
        <sz val="11"/>
        <color theme="1"/>
        <rFont val="Calibri"/>
        <family val="2"/>
        <scheme val="minor"/>
      </rPr>
      <t>e)  [a]</t>
    </r>
  </si>
  <si>
    <r>
      <t>Emissões de GEE associadas ao(s) evento(s)/reunião(ões) realizado(s) no estabelecimento, em quilogramas de dióxido de carbono equivalente (kg CO</t>
    </r>
    <r>
      <rPr>
        <vertAlign val="subscript"/>
        <sz val="11"/>
        <color theme="1"/>
        <rFont val="Calibri (corpo)"/>
      </rPr>
      <t>2</t>
    </r>
    <r>
      <rPr>
        <sz val="11"/>
        <color theme="1"/>
        <rFont val="Calibri"/>
        <family val="2"/>
        <scheme val="minor"/>
      </rPr>
      <t>e)  [b]</t>
    </r>
  </si>
  <si>
    <r>
      <t>Emissões totais de GEE associadas à utilização do estabelecimento, em quilogramas de dióxido de carbono equivalente (kg CO</t>
    </r>
    <r>
      <rPr>
        <vertAlign val="subscript"/>
        <sz val="11"/>
        <color theme="1"/>
        <rFont val="Calibri (corpo)"/>
      </rPr>
      <t>2</t>
    </r>
    <r>
      <rPr>
        <sz val="11"/>
        <color theme="1"/>
        <rFont val="Calibri"/>
        <family val="2"/>
        <scheme val="minor"/>
      </rPr>
      <t>e)  [a+b]</t>
    </r>
  </si>
  <si>
    <r>
      <t>Emissões totais de GEE do estabelecimento, no ano de reporte, em toneladas de dióxido de carbono equivalente (t CO</t>
    </r>
    <r>
      <rPr>
        <vertAlign val="subscript"/>
        <sz val="11"/>
        <color theme="1"/>
        <rFont val="Calibri (Body)"/>
      </rPr>
      <t>2</t>
    </r>
    <r>
      <rPr>
        <sz val="11"/>
        <color theme="1"/>
        <rFont val="Calibri (Body)"/>
      </rPr>
      <t>e</t>
    </r>
    <r>
      <rPr>
        <sz val="11"/>
        <color theme="1"/>
        <rFont val="Calibri"/>
        <family val="2"/>
        <scheme val="minor"/>
      </rPr>
      <t>)</t>
    </r>
  </si>
  <si>
    <r>
      <t>Emissões totais de GEE associadas às estadas dos hóspedes no estabelecimento, no ano de reporte, em toneladas de dióxido de carbono equivalente (t CO</t>
    </r>
    <r>
      <rPr>
        <vertAlign val="subscript"/>
        <sz val="11"/>
        <color theme="1"/>
        <rFont val="Calibri (Body)"/>
      </rPr>
      <t>2</t>
    </r>
    <r>
      <rPr>
        <sz val="11"/>
        <color theme="1"/>
        <rFont val="Calibri (Body)"/>
      </rPr>
      <t>e</t>
    </r>
    <r>
      <rPr>
        <sz val="11"/>
        <color theme="1"/>
        <rFont val="Calibri"/>
        <family val="2"/>
        <scheme val="minor"/>
      </rPr>
      <t>)</t>
    </r>
  </si>
  <si>
    <r>
      <t>Emissões totais de GEE associadas aos eventos/reuniões realizados no estabelecimento, no ano de reporte, em toneladas de dióxido de carbono equivalente (t CO</t>
    </r>
    <r>
      <rPr>
        <vertAlign val="subscript"/>
        <sz val="11"/>
        <color theme="1"/>
        <rFont val="Calibri (Body)"/>
      </rPr>
      <t>2</t>
    </r>
    <r>
      <rPr>
        <sz val="11"/>
        <color theme="1"/>
        <rFont val="Calibri (Body)"/>
      </rPr>
      <t>e</t>
    </r>
    <r>
      <rPr>
        <sz val="11"/>
        <color theme="1"/>
        <rFont val="Calibri"/>
        <family val="2"/>
        <scheme val="minor"/>
      </rPr>
      <t>)</t>
    </r>
  </si>
  <si>
    <r>
      <t>Emissões de GEE por unidade de alojamento (UA) ocupada, no ano de reporte, em quilogramas de dióxido de carbono equivalente (kg CO</t>
    </r>
    <r>
      <rPr>
        <vertAlign val="subscript"/>
        <sz val="11"/>
        <color theme="1"/>
        <rFont val="Calibri (Body)"/>
      </rPr>
      <t>2</t>
    </r>
    <r>
      <rPr>
        <sz val="11"/>
        <color theme="1"/>
        <rFont val="Calibri (Body)"/>
      </rPr>
      <t>e</t>
    </r>
    <r>
      <rPr>
        <sz val="11"/>
        <color theme="1"/>
        <rFont val="Calibri"/>
        <family val="2"/>
        <scheme val="minor"/>
      </rPr>
      <t>) por UA ocupada por noite</t>
    </r>
  </si>
  <si>
    <r>
      <t>Emissões de GEE por área de espaço de reuniões/eventos, no ano de reporte, em quilogramas de dióxido de carbono equivalente (kg CO</t>
    </r>
    <r>
      <rPr>
        <vertAlign val="subscript"/>
        <sz val="11"/>
        <color theme="1"/>
        <rFont val="Calibri (Body)"/>
      </rPr>
      <t>2</t>
    </r>
    <r>
      <rPr>
        <sz val="11"/>
        <color theme="1"/>
        <rFont val="Calibri (Body)"/>
      </rPr>
      <t>e</t>
    </r>
    <r>
      <rPr>
        <sz val="11"/>
        <color theme="1"/>
        <rFont val="Calibri"/>
        <family val="2"/>
        <scheme val="minor"/>
      </rPr>
      <t>) por metro quadrado (m</t>
    </r>
    <r>
      <rPr>
        <vertAlign val="superscript"/>
        <sz val="11"/>
        <color theme="1"/>
        <rFont val="Calibri (corpo)"/>
      </rPr>
      <t>2</t>
    </r>
    <r>
      <rPr>
        <sz val="11"/>
        <color theme="1"/>
        <rFont val="Calibri"/>
        <family val="2"/>
        <scheme val="minor"/>
      </rPr>
      <t>) por dia</t>
    </r>
  </si>
  <si>
    <r>
      <t>Estimativa da emissão de GEE (em quilogramas de dióxido de carbono equivalente, kg CO</t>
    </r>
    <r>
      <rPr>
        <vertAlign val="subscript"/>
        <sz val="11"/>
        <color theme="1"/>
        <rFont val="Calibri (Body)"/>
      </rPr>
      <t>2</t>
    </r>
    <r>
      <rPr>
        <sz val="11"/>
        <color theme="1"/>
        <rFont val="Calibri (Body)"/>
      </rPr>
      <t>e</t>
    </r>
    <r>
      <rPr>
        <sz val="11"/>
        <color theme="1"/>
        <rFont val="Calibri"/>
        <family val="2"/>
        <scheme val="minor"/>
      </rPr>
      <t>) por quilowatt-hora (kWh) de energia elétrica consumida no estabelecimento, no ano projetado</t>
    </r>
  </si>
  <si>
    <r>
      <t>Estimativa da emissão de GEE (em quilogramas de dióxido de carbono equivalente, kg CO</t>
    </r>
    <r>
      <rPr>
        <vertAlign val="subscript"/>
        <sz val="11"/>
        <color theme="1"/>
        <rFont val="Calibri (Body)"/>
      </rPr>
      <t>2</t>
    </r>
    <r>
      <rPr>
        <sz val="11"/>
        <color theme="1"/>
        <rFont val="Calibri (Body)"/>
      </rPr>
      <t>e</t>
    </r>
    <r>
      <rPr>
        <sz val="11"/>
        <color theme="1"/>
        <rFont val="Calibri"/>
        <family val="2"/>
        <scheme val="minor"/>
      </rPr>
      <t>) por quilowatt-hora (kWh) de eletricidade, no ano projetado, consumido no carregamento dos veículos da frota e na lavandaria (fora do estabelecimento)</t>
    </r>
  </si>
  <si>
    <r>
      <t>Emissões totais estimadas de GEE do estabelecimento, no ano projetado, em toneladas de dióxido de carbono equivalente (tCO</t>
    </r>
    <r>
      <rPr>
        <vertAlign val="subscript"/>
        <sz val="11"/>
        <color theme="1"/>
        <rFont val="Calibri (Body)"/>
      </rPr>
      <t>2</t>
    </r>
    <r>
      <rPr>
        <sz val="11"/>
        <color theme="1"/>
        <rFont val="Calibri (Body)"/>
      </rPr>
      <t>e</t>
    </r>
    <r>
      <rPr>
        <sz val="11"/>
        <color theme="1"/>
        <rFont val="Calibri"/>
        <family val="2"/>
        <scheme val="minor"/>
      </rPr>
      <t>)</t>
    </r>
  </si>
  <si>
    <r>
      <t>Emissões totais estimadas de GEE associadas às estadas dos hóspedes no estabelecimento, no ano projetado, em toneladas de dióxido de carbono equivalente (t CO</t>
    </r>
    <r>
      <rPr>
        <vertAlign val="subscript"/>
        <sz val="11"/>
        <color theme="1"/>
        <rFont val="Calibri (Body)"/>
      </rPr>
      <t>2</t>
    </r>
    <r>
      <rPr>
        <sz val="11"/>
        <color theme="1"/>
        <rFont val="Calibri (Body)"/>
      </rPr>
      <t>e</t>
    </r>
    <r>
      <rPr>
        <sz val="11"/>
        <color theme="1"/>
        <rFont val="Calibri"/>
        <family val="2"/>
        <scheme val="minor"/>
      </rPr>
      <t>)</t>
    </r>
  </si>
  <si>
    <r>
      <t>Emissões totais estimadas de GEE associadas aos eventos/reuniões realizados no estabelecimento, no ano projetado, em toneladas de dióxido de carbono equivalente (tCO</t>
    </r>
    <r>
      <rPr>
        <vertAlign val="subscript"/>
        <sz val="11"/>
        <color theme="1"/>
        <rFont val="Calibri (Body)"/>
      </rPr>
      <t>2</t>
    </r>
    <r>
      <rPr>
        <sz val="11"/>
        <color theme="1"/>
        <rFont val="Calibri (Body)"/>
      </rPr>
      <t>e</t>
    </r>
    <r>
      <rPr>
        <sz val="11"/>
        <color theme="1"/>
        <rFont val="Calibri"/>
        <family val="2"/>
        <scheme val="minor"/>
      </rPr>
      <t>)</t>
    </r>
  </si>
  <si>
    <r>
      <t>Emissões estimadas de GEE por unidade de alojamento (UA) ocupada, no ano projetado, em quilogramas de dióxido de carbono equivalente (kg CO</t>
    </r>
    <r>
      <rPr>
        <vertAlign val="subscript"/>
        <sz val="11"/>
        <color theme="1"/>
        <rFont val="Calibri (Body)"/>
      </rPr>
      <t>2</t>
    </r>
    <r>
      <rPr>
        <sz val="11"/>
        <color theme="1"/>
        <rFont val="Calibri (Body)"/>
      </rPr>
      <t>e</t>
    </r>
    <r>
      <rPr>
        <sz val="11"/>
        <color theme="1"/>
        <rFont val="Calibri"/>
        <family val="2"/>
        <scheme val="minor"/>
      </rPr>
      <t>) por UA ocupada por noite</t>
    </r>
  </si>
  <si>
    <r>
      <t>Emissões estimadas de GEE por área de espaço de reuniões/eventos, numa base diária, no ano projetado, em quilogramas de dióxido de carbono equivalente (kg CO</t>
    </r>
    <r>
      <rPr>
        <vertAlign val="subscript"/>
        <sz val="11"/>
        <color theme="1"/>
        <rFont val="Calibri (Body)"/>
      </rPr>
      <t>2</t>
    </r>
    <r>
      <rPr>
        <sz val="11"/>
        <color theme="1"/>
        <rFont val="Calibri (Body)"/>
      </rPr>
      <t>e</t>
    </r>
    <r>
      <rPr>
        <sz val="11"/>
        <color theme="1"/>
        <rFont val="Calibri"/>
        <family val="2"/>
        <scheme val="minor"/>
      </rPr>
      <t>) por metro quadrado (m</t>
    </r>
    <r>
      <rPr>
        <vertAlign val="superscript"/>
        <sz val="11"/>
        <color theme="1"/>
        <rFont val="Calibri (Body)"/>
      </rPr>
      <t>2</t>
    </r>
    <r>
      <rPr>
        <sz val="11"/>
        <color theme="1"/>
        <rFont val="Calibri"/>
        <family val="2"/>
        <scheme val="minor"/>
      </rPr>
      <t>) por dia</t>
    </r>
  </si>
  <si>
    <r>
      <t>Estimativa da emissão de GEE (em quilogramas de dióxido de carbono equivalente, kg CO</t>
    </r>
    <r>
      <rPr>
        <vertAlign val="subscript"/>
        <sz val="11"/>
        <color theme="1"/>
        <rFont val="Calibri (corpo)"/>
      </rPr>
      <t>2</t>
    </r>
    <r>
      <rPr>
        <sz val="11"/>
        <color theme="1"/>
        <rFont val="Calibri"/>
        <family val="2"/>
        <scheme val="minor"/>
      </rPr>
      <t>e) por quilowatt-hora (kWh) de energia elétrica consumida no estabelecimento, no ano projetado</t>
    </r>
  </si>
  <si>
    <r>
      <t>Estimativa da emissão de GEE (em quilogramas de dióxido de carbono equivalente, kg CO</t>
    </r>
    <r>
      <rPr>
        <vertAlign val="subscript"/>
        <sz val="11"/>
        <color theme="1"/>
        <rFont val="Calibri (corpo)"/>
      </rPr>
      <t>2</t>
    </r>
    <r>
      <rPr>
        <sz val="11"/>
        <color theme="1"/>
        <rFont val="Calibri"/>
        <family val="2"/>
        <scheme val="minor"/>
      </rPr>
      <t>e) por quilowatt-hora (kWh) de eletricidade, no ano projetado, consumido no carregamento dos veículos da frota e na lavandaria (fora do estabelecimento)</t>
    </r>
  </si>
  <si>
    <r>
      <t>Emissões totais estimadas de GEE do estabelecimento, no ano projetado e para o cenário C1, em toneladas de dióxido de carbono equivalente (t CO</t>
    </r>
    <r>
      <rPr>
        <vertAlign val="subscript"/>
        <sz val="11"/>
        <color theme="1"/>
        <rFont val="Calibri (Body)"/>
      </rPr>
      <t>2</t>
    </r>
    <r>
      <rPr>
        <sz val="11"/>
        <color theme="1"/>
        <rFont val="Calibri (Body)"/>
      </rPr>
      <t>e</t>
    </r>
    <r>
      <rPr>
        <sz val="11"/>
        <color theme="1"/>
        <rFont val="Calibri"/>
        <family val="2"/>
        <scheme val="minor"/>
      </rPr>
      <t>)</t>
    </r>
  </si>
  <si>
    <r>
      <t>Emissões totais estimadas de GEE associadas às estadas dos hóspedes no estabelecimento, no ano projetado e para o cenário C1, em toneladas de dióxido de carbono equivalente (t CO</t>
    </r>
    <r>
      <rPr>
        <vertAlign val="subscript"/>
        <sz val="11"/>
        <color theme="1"/>
        <rFont val="Calibri (Body)"/>
      </rPr>
      <t>2</t>
    </r>
    <r>
      <rPr>
        <sz val="11"/>
        <color theme="1"/>
        <rFont val="Calibri (Body)"/>
      </rPr>
      <t>e</t>
    </r>
    <r>
      <rPr>
        <sz val="11"/>
        <color theme="1"/>
        <rFont val="Calibri"/>
        <family val="2"/>
        <scheme val="minor"/>
      </rPr>
      <t>)</t>
    </r>
  </si>
  <si>
    <r>
      <t>Emissões totais estimadas de GEE associadas aos eventos/reuniões realizados no estabelecimento, no ano projetado e para o cenário C1, em toneladas de dióxido de carbono equivalente (t CO</t>
    </r>
    <r>
      <rPr>
        <vertAlign val="subscript"/>
        <sz val="11"/>
        <color theme="1"/>
        <rFont val="Calibri (Body)"/>
      </rPr>
      <t>2</t>
    </r>
    <r>
      <rPr>
        <sz val="11"/>
        <color theme="1"/>
        <rFont val="Calibri (Body)"/>
      </rPr>
      <t>e</t>
    </r>
    <r>
      <rPr>
        <sz val="11"/>
        <color theme="1"/>
        <rFont val="Calibri"/>
        <family val="2"/>
        <scheme val="minor"/>
      </rPr>
      <t>)</t>
    </r>
  </si>
  <si>
    <r>
      <t>Emissões estimadas de GEE por unidade de alojamento (UA) ocupada, numa base diária, no ano projetado e para o cenário C1, em quilogramas de dióxido de carbono equivalente (kg CO</t>
    </r>
    <r>
      <rPr>
        <vertAlign val="subscript"/>
        <sz val="11"/>
        <color theme="1"/>
        <rFont val="Calibri (Body)"/>
      </rPr>
      <t>2</t>
    </r>
    <r>
      <rPr>
        <sz val="11"/>
        <color theme="1"/>
        <rFont val="Calibri (Body)"/>
      </rPr>
      <t>e</t>
    </r>
    <r>
      <rPr>
        <sz val="11"/>
        <color theme="1"/>
        <rFont val="Calibri"/>
        <family val="2"/>
        <scheme val="minor"/>
      </rPr>
      <t>) por UA ocupada por noite</t>
    </r>
  </si>
  <si>
    <r>
      <t>Emissões estimadas de GEE por área de espaço de reuniões/eventos, numa base diária, no ano projetado e para o cenário C1, em quilogramas de dióxido de carbono equivalente (kg CO</t>
    </r>
    <r>
      <rPr>
        <vertAlign val="subscript"/>
        <sz val="11"/>
        <color theme="1"/>
        <rFont val="Calibri (Body)"/>
      </rPr>
      <t>2</t>
    </r>
    <r>
      <rPr>
        <sz val="11"/>
        <color theme="1"/>
        <rFont val="Calibri (Body)"/>
      </rPr>
      <t>e</t>
    </r>
    <r>
      <rPr>
        <sz val="11"/>
        <color theme="1"/>
        <rFont val="Calibri"/>
        <family val="2"/>
        <scheme val="minor"/>
      </rPr>
      <t>) por metro quadrado (m</t>
    </r>
    <r>
      <rPr>
        <vertAlign val="superscript"/>
        <sz val="11"/>
        <color theme="1"/>
        <rFont val="Calibri (Body)"/>
      </rPr>
      <t>2</t>
    </r>
    <r>
      <rPr>
        <sz val="11"/>
        <color theme="1"/>
        <rFont val="Calibri"/>
        <family val="2"/>
        <scheme val="minor"/>
      </rPr>
      <t>) por dia</t>
    </r>
  </si>
  <si>
    <r>
      <t>Emissões totais estimadas de GEE do estabelecimento, no ano projetado e para o cenário C2, em toneladas de dióxido de carbono equivalente (t CO</t>
    </r>
    <r>
      <rPr>
        <vertAlign val="subscript"/>
        <sz val="11"/>
        <color theme="1"/>
        <rFont val="Calibri (Body)"/>
      </rPr>
      <t>2</t>
    </r>
    <r>
      <rPr>
        <sz val="11"/>
        <color theme="1"/>
        <rFont val="Calibri (Body)"/>
      </rPr>
      <t>e</t>
    </r>
    <r>
      <rPr>
        <sz val="11"/>
        <color theme="1"/>
        <rFont val="Calibri"/>
        <family val="2"/>
        <scheme val="minor"/>
      </rPr>
      <t>)</t>
    </r>
  </si>
  <si>
    <r>
      <t>Emissões totais estimadas de GEE associadas às estadas dos hóspedes no estabelecimento, no ano projetado e para o cenário C2, em toneladas de dióxido de carbono equivalente (t CO</t>
    </r>
    <r>
      <rPr>
        <vertAlign val="subscript"/>
        <sz val="11"/>
        <color theme="1"/>
        <rFont val="Calibri (Body)"/>
      </rPr>
      <t>2</t>
    </r>
    <r>
      <rPr>
        <sz val="11"/>
        <color theme="1"/>
        <rFont val="Calibri (Body)"/>
      </rPr>
      <t>e</t>
    </r>
    <r>
      <rPr>
        <sz val="11"/>
        <color theme="1"/>
        <rFont val="Calibri"/>
        <family val="2"/>
        <scheme val="minor"/>
      </rPr>
      <t>)</t>
    </r>
  </si>
  <si>
    <r>
      <t>Emissões totais estimadas de GEE associadas aos eventos/reuniões realizados no estabelecimento, no ano projetado e para o cenário C2, em toneladas de dióxido de carbono equivalente (t CO</t>
    </r>
    <r>
      <rPr>
        <vertAlign val="subscript"/>
        <sz val="11"/>
        <color theme="1"/>
        <rFont val="Calibri (Body)"/>
      </rPr>
      <t>2</t>
    </r>
    <r>
      <rPr>
        <sz val="11"/>
        <color theme="1"/>
        <rFont val="Calibri (Body)"/>
      </rPr>
      <t>e</t>
    </r>
    <r>
      <rPr>
        <sz val="11"/>
        <color theme="1"/>
        <rFont val="Calibri"/>
        <family val="2"/>
        <scheme val="minor"/>
      </rPr>
      <t>)</t>
    </r>
  </si>
  <si>
    <r>
      <t>Emissões estimadas de GEE por unidade de alojamento (UA) ocupada, numa base diária, no ano projetado e para o cenário C2, em quilogramas de dióxido de carbono equivalente (kg CO</t>
    </r>
    <r>
      <rPr>
        <vertAlign val="subscript"/>
        <sz val="11"/>
        <color theme="1"/>
        <rFont val="Calibri (Body)"/>
      </rPr>
      <t>2</t>
    </r>
    <r>
      <rPr>
        <sz val="11"/>
        <color theme="1"/>
        <rFont val="Calibri (Body)"/>
      </rPr>
      <t>e</t>
    </r>
    <r>
      <rPr>
        <sz val="11"/>
        <color theme="1"/>
        <rFont val="Calibri"/>
        <family val="2"/>
        <scheme val="minor"/>
      </rPr>
      <t>) por UA ocupada por noite</t>
    </r>
  </si>
  <si>
    <r>
      <t>Emissões estimadas de GEE por área de espaço de reuniões/eventos, numa base diária, no ano projetado e para o cenário C2, em quilogramas de dióxido de carbono equivalente (kg CO</t>
    </r>
    <r>
      <rPr>
        <vertAlign val="subscript"/>
        <sz val="11"/>
        <color theme="1"/>
        <rFont val="Calibri (Body)"/>
      </rPr>
      <t>2</t>
    </r>
    <r>
      <rPr>
        <sz val="11"/>
        <color theme="1"/>
        <rFont val="Calibri (Body)"/>
      </rPr>
      <t>e</t>
    </r>
    <r>
      <rPr>
        <sz val="11"/>
        <color theme="1"/>
        <rFont val="Calibri"/>
        <family val="2"/>
        <scheme val="minor"/>
      </rPr>
      <t>) por metro quadrado (m</t>
    </r>
    <r>
      <rPr>
        <vertAlign val="superscript"/>
        <sz val="11"/>
        <color theme="1"/>
        <rFont val="Calibri (Body)"/>
      </rPr>
      <t>2</t>
    </r>
    <r>
      <rPr>
        <sz val="11"/>
        <color theme="1"/>
        <rFont val="Calibri"/>
        <family val="2"/>
        <scheme val="minor"/>
      </rPr>
      <t>) por dia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</si>
</sst>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816]mmm/yy;@"/>
    <numFmt numFmtId="165" formatCode="#,##0.0000"/>
    <numFmt numFmtId="166" formatCode="#,##0.0"/>
    <numFmt numFmtId="167" formatCode="0.0%"/>
    <numFmt numFmtId="168" formatCode="0.0"/>
    <numFmt numFmtId="169" formatCode="0.0000"/>
  </numFmts>
  <fonts count="7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Arial Black"/>
      <family val="2"/>
    </font>
    <font>
      <b/>
      <sz val="12"/>
      <color theme="1"/>
      <name val="Calibri"/>
      <family val="2"/>
      <scheme val="minor"/>
    </font>
    <font>
      <sz val="12"/>
      <color theme="0"/>
      <name val="Calibri"/>
      <family val="2"/>
      <scheme val="minor"/>
    </font>
    <font>
      <sz val="11"/>
      <color theme="1"/>
      <name val="Calibri"/>
      <family val="2"/>
      <scheme val="minor"/>
    </font>
    <font>
      <vertAlign val="superscript"/>
      <sz val="12"/>
      <color theme="1"/>
      <name val="Calibri (corpo)"/>
    </font>
    <font>
      <sz val="11"/>
      <color rgb="FF009193"/>
      <name val="Calibri"/>
      <family val="2"/>
      <scheme val="minor"/>
    </font>
    <font>
      <i/>
      <sz val="12"/>
      <color theme="0" tint="-0.499984740745262"/>
      <name val="Calibri"/>
      <family val="2"/>
      <scheme val="minor"/>
    </font>
    <font>
      <b/>
      <sz val="14"/>
      <color theme="0"/>
      <name val="Calibri (corpo)_x0000_"/>
    </font>
    <font>
      <b/>
      <sz val="12"/>
      <color rgb="FF009193"/>
      <name val="Calibri"/>
      <family val="2"/>
      <scheme val="minor"/>
    </font>
    <font>
      <b/>
      <sz val="14"/>
      <color rgb="FF009193"/>
      <name val="Calibri"/>
      <family val="2"/>
      <scheme val="minor"/>
    </font>
    <font>
      <sz val="12"/>
      <color theme="1"/>
      <name val="Calibri"/>
      <family val="2"/>
      <scheme val="minor"/>
    </font>
    <font>
      <b/>
      <sz val="11"/>
      <color theme="0"/>
      <name val="Calibri"/>
      <family val="2"/>
      <scheme val="minor"/>
    </font>
    <font>
      <b/>
      <sz val="12"/>
      <color theme="0"/>
      <name val="Calibri"/>
      <family val="2"/>
      <scheme val="minor"/>
    </font>
    <font>
      <sz val="20"/>
      <color theme="0"/>
      <name val="Calibri"/>
      <family val="2"/>
      <scheme val="minor"/>
    </font>
    <font>
      <b/>
      <sz val="14"/>
      <color theme="1"/>
      <name val="Calibri"/>
      <family val="2"/>
      <scheme val="minor"/>
    </font>
    <font>
      <b/>
      <sz val="12"/>
      <color rgb="FF1F7044"/>
      <name val="Calibri"/>
      <family val="2"/>
      <scheme val="minor"/>
    </font>
    <font>
      <sz val="22"/>
      <color rgb="FFFF7E79"/>
      <name val="Arial Rounded MT Bold"/>
      <family val="2"/>
    </font>
    <font>
      <sz val="22"/>
      <color rgb="FF8EFA23"/>
      <name val="Arial Rounded MT Bold"/>
      <family val="2"/>
    </font>
    <font>
      <sz val="12"/>
      <name val="Calibri"/>
      <family val="2"/>
      <scheme val="minor"/>
    </font>
    <font>
      <vertAlign val="superscript"/>
      <sz val="12"/>
      <color theme="1"/>
      <name val="Calibri"/>
      <family val="2"/>
      <scheme val="minor"/>
    </font>
    <font>
      <sz val="8"/>
      <name val="Calibri"/>
      <family val="2"/>
      <scheme val="minor"/>
    </font>
    <font>
      <sz val="11"/>
      <name val="Calibri"/>
      <family val="2"/>
      <scheme val="minor"/>
    </font>
    <font>
      <vertAlign val="superscript"/>
      <sz val="11"/>
      <name val="Calibri (corpo)"/>
    </font>
    <font>
      <vertAlign val="superscript"/>
      <sz val="11"/>
      <color theme="1"/>
      <name val="Calibri"/>
      <family val="2"/>
      <scheme val="minor"/>
    </font>
    <font>
      <sz val="14"/>
      <color theme="0"/>
      <name val="Calibri"/>
      <family val="2"/>
      <scheme val="minor"/>
    </font>
    <font>
      <i/>
      <sz val="12"/>
      <color theme="0" tint="-0.34998626667073579"/>
      <name val="Calibri"/>
      <family val="2"/>
      <scheme val="minor"/>
    </font>
    <font>
      <sz val="10"/>
      <color rgb="FF000000"/>
      <name val="Tahoma"/>
      <family val="2"/>
    </font>
    <font>
      <b/>
      <sz val="10"/>
      <color rgb="FF000000"/>
      <name val="Tahoma"/>
      <family val="2"/>
    </font>
    <font>
      <b/>
      <sz val="18"/>
      <color theme="0"/>
      <name val="Calibri"/>
      <family val="2"/>
      <scheme val="minor"/>
    </font>
    <font>
      <sz val="12"/>
      <color rgb="FF941651"/>
      <name val="Calibri"/>
      <family val="2"/>
      <scheme val="minor"/>
    </font>
    <font>
      <sz val="12"/>
      <color rgb="FF8EFA23"/>
      <name val="Calibri"/>
      <family val="2"/>
      <scheme val="minor"/>
    </font>
    <font>
      <sz val="11"/>
      <color theme="0"/>
      <name val="Calibri"/>
      <family val="2"/>
      <scheme val="minor"/>
    </font>
    <font>
      <b/>
      <sz val="14"/>
      <color rgb="FF2F5497"/>
      <name val="Calibri"/>
      <family val="2"/>
      <scheme val="minor"/>
    </font>
    <font>
      <u/>
      <sz val="12"/>
      <color theme="10"/>
      <name val="Calibri"/>
      <family val="2"/>
      <scheme val="minor"/>
    </font>
    <font>
      <u/>
      <sz val="12"/>
      <color theme="0"/>
      <name val="Calibri"/>
      <family val="2"/>
      <scheme val="minor"/>
    </font>
    <font>
      <sz val="9"/>
      <color indexed="81"/>
      <name val="Tahoma"/>
      <family val="2"/>
    </font>
    <font>
      <b/>
      <sz val="9"/>
      <color indexed="81"/>
      <name val="Tahoma"/>
      <family val="2"/>
    </font>
    <font>
      <sz val="12"/>
      <color rgb="FF2F5497"/>
      <name val="Calibri"/>
      <family val="2"/>
      <scheme val="minor"/>
    </font>
    <font>
      <sz val="14"/>
      <color rgb="FF009193"/>
      <name val="Calibri"/>
      <family val="2"/>
      <scheme val="minor"/>
    </font>
    <font>
      <sz val="16"/>
      <color rgb="FF8EFA23"/>
      <name val="Calibri"/>
      <family val="2"/>
      <scheme val="minor"/>
    </font>
    <font>
      <b/>
      <sz val="16"/>
      <color rgb="FF8EFA23"/>
      <name val="Calibri"/>
      <family val="2"/>
      <scheme val="minor"/>
    </font>
    <font>
      <b/>
      <sz val="12"/>
      <color rgb="FF2F5497"/>
      <name val="Calibri"/>
      <family val="2"/>
      <scheme val="minor"/>
    </font>
    <font>
      <sz val="11"/>
      <color rgb="FF000000"/>
      <name val="Calibri"/>
      <family val="2"/>
      <scheme val="minor"/>
    </font>
    <font>
      <b/>
      <sz val="12"/>
      <color rgb="FFFF0000"/>
      <name val="Calibri"/>
      <family val="2"/>
      <scheme val="minor"/>
    </font>
    <font>
      <b/>
      <sz val="11"/>
      <color rgb="FFFF0000"/>
      <name val="Calibri"/>
      <family val="2"/>
      <scheme val="minor"/>
    </font>
    <font>
      <b/>
      <sz val="14"/>
      <color rgb="FFFF0000"/>
      <name val="Calibri"/>
      <family val="2"/>
      <scheme val="minor"/>
    </font>
    <font>
      <vertAlign val="superscript"/>
      <sz val="11"/>
      <color theme="1"/>
      <name val="Calibri (corpo)"/>
    </font>
    <font>
      <sz val="14"/>
      <color theme="6" tint="0.79998168889431442"/>
      <name val="Calibri"/>
      <family val="2"/>
      <scheme val="minor"/>
    </font>
    <font>
      <vertAlign val="superscript"/>
      <sz val="11"/>
      <color theme="1"/>
      <name val="Calibri (Body)"/>
    </font>
    <font>
      <vertAlign val="subscript"/>
      <sz val="12"/>
      <name val="Calibri (Body)"/>
    </font>
    <font>
      <vertAlign val="subscript"/>
      <sz val="11"/>
      <name val="Calibri (Body)"/>
    </font>
    <font>
      <vertAlign val="superscript"/>
      <sz val="11"/>
      <name val="Calibri (Body)"/>
    </font>
    <font>
      <vertAlign val="subscript"/>
      <sz val="12"/>
      <color theme="1"/>
      <name val="Calibri (Body)"/>
    </font>
    <font>
      <vertAlign val="subscript"/>
      <sz val="11"/>
      <color theme="1"/>
      <name val="Calibri (Body)"/>
    </font>
    <font>
      <vertAlign val="superscript"/>
      <sz val="12"/>
      <color theme="1"/>
      <name val="Calibri (Body)"/>
    </font>
    <font>
      <sz val="12"/>
      <color theme="1"/>
      <name val="Calibri (Body)"/>
    </font>
    <font>
      <sz val="12"/>
      <name val="Calibri (Body)"/>
    </font>
    <font>
      <sz val="11"/>
      <name val="Calibri (Body)"/>
    </font>
    <font>
      <vertAlign val="subscript"/>
      <sz val="11"/>
      <color theme="1"/>
      <name val="Calibri (corpo)"/>
    </font>
    <font>
      <sz val="11"/>
      <color theme="1"/>
      <name val="Calibri (Body)"/>
    </font>
    <font>
      <b/>
      <sz val="16"/>
      <color theme="0"/>
      <name val="Calibri"/>
      <family val="2"/>
      <scheme val="minor"/>
    </font>
    <font>
      <sz val="10"/>
      <color theme="0"/>
      <name val="Calibri"/>
      <family val="2"/>
      <scheme val="minor"/>
    </font>
    <font>
      <b/>
      <sz val="10"/>
      <color theme="0"/>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2F5497"/>
        <bgColor indexed="64"/>
      </patternFill>
    </fill>
    <fill>
      <patternFill patternType="solid">
        <fgColor rgb="FF009193"/>
        <bgColor indexed="64"/>
      </patternFill>
    </fill>
    <fill>
      <patternFill patternType="solid">
        <fgColor rgb="FF941651"/>
        <bgColor indexed="64"/>
      </patternFill>
    </fill>
    <fill>
      <patternFill patternType="solid">
        <fgColor theme="0" tint="-0.249977111117893"/>
        <bgColor indexed="64"/>
      </patternFill>
    </fill>
    <fill>
      <patternFill patternType="solid">
        <fgColor rgb="FFFF940C"/>
        <bgColor indexed="64"/>
      </patternFill>
    </fill>
    <fill>
      <patternFill patternType="solid">
        <fgColor rgb="FFFFFFFF"/>
        <bgColor rgb="FF000000"/>
      </patternFill>
    </fill>
    <fill>
      <patternFill patternType="solid">
        <fgColor rgb="FFFF7E79"/>
        <bgColor indexed="64"/>
      </patternFill>
    </fill>
    <fill>
      <patternFill patternType="solid">
        <fgColor rgb="FF8EFA23"/>
        <bgColor indexed="64"/>
      </patternFill>
    </fill>
    <fill>
      <patternFill patternType="solid">
        <fgColor theme="9" tint="0.79998168889431442"/>
        <bgColor indexed="64"/>
      </patternFill>
    </fill>
  </fills>
  <borders count="42">
    <border>
      <left/>
      <right/>
      <top/>
      <bottom/>
      <diagonal/>
    </border>
    <border>
      <left/>
      <right/>
      <top style="thin">
        <color rgb="FF2F5497"/>
      </top>
      <bottom style="thin">
        <color rgb="FF2F5497"/>
      </bottom>
      <diagonal/>
    </border>
    <border>
      <left/>
      <right/>
      <top style="thin">
        <color rgb="FF2F5497"/>
      </top>
      <bottom style="medium">
        <color rgb="FF2F5497"/>
      </bottom>
      <diagonal/>
    </border>
    <border>
      <left/>
      <right/>
      <top style="thin">
        <color rgb="FF2F5497"/>
      </top>
      <bottom/>
      <diagonal/>
    </border>
    <border>
      <left/>
      <right/>
      <top/>
      <bottom style="thin">
        <color rgb="FF2F5497"/>
      </bottom>
      <diagonal/>
    </border>
    <border>
      <left style="thin">
        <color rgb="FF2F5497"/>
      </left>
      <right/>
      <top style="thin">
        <color rgb="FF2F5497"/>
      </top>
      <bottom style="thin">
        <color rgb="FF2F5497"/>
      </bottom>
      <diagonal/>
    </border>
    <border>
      <left/>
      <right style="thin">
        <color rgb="FF2F5497"/>
      </right>
      <top style="thin">
        <color rgb="FF2F5497"/>
      </top>
      <bottom style="thin">
        <color rgb="FF2F5497"/>
      </bottom>
      <diagonal/>
    </border>
    <border>
      <left/>
      <right/>
      <top style="thin">
        <color rgb="FF2F5497"/>
      </top>
      <bottom style="dashed">
        <color rgb="FF2F5497"/>
      </bottom>
      <diagonal/>
    </border>
    <border>
      <left/>
      <right/>
      <top/>
      <bottom style="dashed">
        <color rgb="FF2F5497"/>
      </bottom>
      <diagonal/>
    </border>
    <border>
      <left/>
      <right/>
      <top style="medium">
        <color rgb="FF2F5497"/>
      </top>
      <bottom/>
      <diagonal/>
    </border>
    <border>
      <left/>
      <right/>
      <top style="hair">
        <color rgb="FF2F5497"/>
      </top>
      <bottom style="hair">
        <color rgb="FF2F5497"/>
      </bottom>
      <diagonal/>
    </border>
    <border>
      <left/>
      <right/>
      <top style="medium">
        <color rgb="FF2F5497"/>
      </top>
      <bottom style="thin">
        <color rgb="FF2F5497"/>
      </bottom>
      <diagonal/>
    </border>
    <border>
      <left/>
      <right/>
      <top style="thin">
        <color rgb="FF009193"/>
      </top>
      <bottom style="medium">
        <color rgb="FF009193"/>
      </bottom>
      <diagonal/>
    </border>
    <border>
      <left/>
      <right/>
      <top/>
      <bottom style="thin">
        <color rgb="FF009193"/>
      </bottom>
      <diagonal/>
    </border>
    <border>
      <left/>
      <right/>
      <top style="thin">
        <color rgb="FF009193"/>
      </top>
      <bottom style="thin">
        <color rgb="FF009193"/>
      </bottom>
      <diagonal/>
    </border>
    <border>
      <left/>
      <right/>
      <top style="thin">
        <color rgb="FF009193"/>
      </top>
      <bottom/>
      <diagonal/>
    </border>
    <border>
      <left/>
      <right/>
      <top style="thin">
        <color rgb="FF009193"/>
      </top>
      <bottom style="hair">
        <color rgb="FF009193"/>
      </bottom>
      <diagonal/>
    </border>
    <border>
      <left/>
      <right/>
      <top/>
      <bottom style="dashed">
        <color rgb="FF009193"/>
      </bottom>
      <diagonal/>
    </border>
    <border>
      <left/>
      <right/>
      <top style="hair">
        <color rgb="FF009193"/>
      </top>
      <bottom style="hair">
        <color rgb="FF009193"/>
      </bottom>
      <diagonal/>
    </border>
    <border>
      <left style="thin">
        <color rgb="FF009193"/>
      </left>
      <right/>
      <top style="thin">
        <color rgb="FF009193"/>
      </top>
      <bottom style="medium">
        <color rgb="FF009193"/>
      </bottom>
      <diagonal/>
    </border>
    <border>
      <left/>
      <right style="thin">
        <color rgb="FF009193"/>
      </right>
      <top style="thin">
        <color rgb="FF009193"/>
      </top>
      <bottom style="medium">
        <color rgb="FF009193"/>
      </bottom>
      <diagonal/>
    </border>
    <border>
      <left style="thin">
        <color rgb="FF009193"/>
      </left>
      <right/>
      <top style="thin">
        <color rgb="FF009193"/>
      </top>
      <bottom style="thin">
        <color rgb="FF009193"/>
      </bottom>
      <diagonal/>
    </border>
    <border>
      <left/>
      <right style="thin">
        <color rgb="FF009193"/>
      </right>
      <top style="thin">
        <color rgb="FF009193"/>
      </top>
      <bottom style="thin">
        <color rgb="FF009193"/>
      </bottom>
      <diagonal/>
    </border>
    <border>
      <left/>
      <right/>
      <top style="medium">
        <color rgb="FF009193"/>
      </top>
      <bottom style="thin">
        <color rgb="FF009193"/>
      </bottom>
      <diagonal/>
    </border>
    <border>
      <left/>
      <right/>
      <top style="thin">
        <color rgb="FF941651"/>
      </top>
      <bottom style="medium">
        <color rgb="FF941651"/>
      </bottom>
      <diagonal/>
    </border>
    <border>
      <left/>
      <right/>
      <top style="medium">
        <color rgb="FF941651"/>
      </top>
      <bottom style="thin">
        <color rgb="FF941651"/>
      </bottom>
      <diagonal/>
    </border>
    <border>
      <left/>
      <right/>
      <top style="thin">
        <color rgb="FF941651"/>
      </top>
      <bottom style="thin">
        <color rgb="FF941651"/>
      </bottom>
      <diagonal/>
    </border>
    <border>
      <left/>
      <right/>
      <top/>
      <bottom style="thin">
        <color rgb="FF941651"/>
      </bottom>
      <diagonal/>
    </border>
    <border>
      <left/>
      <right/>
      <top/>
      <bottom style="thin">
        <color auto="1"/>
      </bottom>
      <diagonal/>
    </border>
    <border>
      <left/>
      <right/>
      <top/>
      <bottom style="hair">
        <color rgb="FF2F5497"/>
      </bottom>
      <diagonal/>
    </border>
    <border>
      <left/>
      <right/>
      <top style="thin">
        <color rgb="FF00B0F0"/>
      </top>
      <bottom style="thin">
        <color rgb="FF00B0F0"/>
      </bottom>
      <diagonal/>
    </border>
    <border>
      <left style="thin">
        <color indexed="64"/>
      </left>
      <right style="thin">
        <color indexed="64"/>
      </right>
      <top style="thin">
        <color indexed="64"/>
      </top>
      <bottom style="thin">
        <color indexed="64"/>
      </bottom>
      <diagonal/>
    </border>
    <border>
      <left/>
      <right/>
      <top/>
      <bottom style="medium">
        <color rgb="FF2F5497"/>
      </bottom>
      <diagonal/>
    </border>
    <border>
      <left/>
      <right style="thick">
        <color auto="1"/>
      </right>
      <top/>
      <bottom/>
      <diagonal/>
    </border>
    <border>
      <left/>
      <right/>
      <top style="dashed">
        <color rgb="FF2F5497"/>
      </top>
      <bottom style="hair">
        <color rgb="FF2F5497"/>
      </bottom>
      <diagonal/>
    </border>
    <border>
      <left/>
      <right/>
      <top style="thin">
        <color rgb="FF2F5497"/>
      </top>
      <bottom style="hair">
        <color rgb="FF2F5497"/>
      </bottom>
      <diagonal/>
    </border>
    <border>
      <left/>
      <right/>
      <top style="hair">
        <color rgb="FF2F5497"/>
      </top>
      <bottom style="thin">
        <color rgb="FF2F5497"/>
      </bottom>
      <diagonal/>
    </border>
    <border>
      <left/>
      <right/>
      <top style="hair">
        <color rgb="FF009193"/>
      </top>
      <bottom style="dotted">
        <color rgb="FF009193"/>
      </bottom>
      <diagonal/>
    </border>
    <border>
      <left/>
      <right/>
      <top/>
      <bottom style="dotted">
        <color theme="8"/>
      </bottom>
      <diagonal/>
    </border>
    <border>
      <left style="medium">
        <color rgb="FF2F5497"/>
      </left>
      <right/>
      <top style="medium">
        <color rgb="FF2F5497"/>
      </top>
      <bottom style="medium">
        <color rgb="FF2F5497"/>
      </bottom>
      <diagonal/>
    </border>
    <border>
      <left/>
      <right style="medium">
        <color rgb="FF2F5497"/>
      </right>
      <top style="medium">
        <color rgb="FF2F5497"/>
      </top>
      <bottom style="medium">
        <color rgb="FF2F5497"/>
      </bottom>
      <diagonal/>
    </border>
    <border>
      <left/>
      <right/>
      <top style="medium">
        <color rgb="FF2F5497"/>
      </top>
      <bottom style="medium">
        <color rgb="FF2F5497"/>
      </bottom>
      <diagonal/>
    </border>
  </borders>
  <cellStyleXfs count="3">
    <xf numFmtId="0" fontId="0" fillId="0" borderId="0"/>
    <xf numFmtId="9" fontId="18" fillId="0" borderId="0" applyFont="0" applyFill="0" applyBorder="0" applyAlignment="0" applyProtection="0"/>
    <xf numFmtId="0" fontId="41" fillId="0" borderId="0" applyNumberFormat="0" applyFill="0" applyBorder="0" applyAlignment="0" applyProtection="0"/>
  </cellStyleXfs>
  <cellXfs count="366">
    <xf numFmtId="0" fontId="0" fillId="0" borderId="0" xfId="0"/>
    <xf numFmtId="0" fontId="0" fillId="2" borderId="0" xfId="0" applyFill="1"/>
    <xf numFmtId="0" fontId="8" fillId="2" borderId="0" xfId="0" applyFont="1" applyFill="1" applyAlignment="1">
      <alignment horizontal="left" vertical="top" wrapText="1"/>
    </xf>
    <xf numFmtId="0" fontId="0" fillId="2" borderId="0" xfId="0" applyFill="1" applyAlignment="1">
      <alignment horizontal="right"/>
    </xf>
    <xf numFmtId="0" fontId="0" fillId="2" borderId="0" xfId="0" applyFill="1" applyAlignment="1">
      <alignment horizontal="center"/>
    </xf>
    <xf numFmtId="0" fontId="0" fillId="2" borderId="0" xfId="0" applyFill="1" applyAlignment="1">
      <alignment vertical="center"/>
    </xf>
    <xf numFmtId="0" fontId="0" fillId="2" borderId="1" xfId="0" applyFill="1" applyBorder="1" applyAlignment="1">
      <alignment horizontal="center" vertical="center"/>
    </xf>
    <xf numFmtId="0" fontId="0" fillId="2" borderId="1" xfId="0" applyFill="1" applyBorder="1" applyAlignment="1">
      <alignment vertical="center"/>
    </xf>
    <xf numFmtId="0" fontId="0" fillId="2" borderId="0" xfId="0" applyFill="1" applyBorder="1" applyAlignment="1">
      <alignment vertical="center"/>
    </xf>
    <xf numFmtId="0" fontId="0" fillId="2" borderId="3" xfId="0" applyFill="1" applyBorder="1" applyAlignment="1">
      <alignment vertical="center"/>
    </xf>
    <xf numFmtId="0" fontId="0" fillId="2" borderId="8" xfId="0" applyFill="1" applyBorder="1" applyAlignment="1">
      <alignment horizontal="center" vertical="center"/>
    </xf>
    <xf numFmtId="0" fontId="0" fillId="2" borderId="0" xfId="0" applyFill="1" applyBorder="1"/>
    <xf numFmtId="0" fontId="11" fillId="2" borderId="0" xfId="0" applyFont="1" applyFill="1"/>
    <xf numFmtId="0" fontId="9" fillId="2" borderId="0" xfId="0" applyFont="1" applyFill="1" applyAlignment="1">
      <alignment horizontal="center"/>
    </xf>
    <xf numFmtId="0" fontId="19" fillId="2" borderId="0" xfId="0" applyFont="1" applyFill="1" applyAlignment="1">
      <alignment horizontal="left"/>
    </xf>
    <xf numFmtId="0" fontId="9" fillId="2" borderId="0" xfId="0" applyFont="1" applyFill="1"/>
    <xf numFmtId="0" fontId="9" fillId="2" borderId="0" xfId="0" applyFont="1" applyFill="1" applyAlignment="1">
      <alignment horizontal="right"/>
    </xf>
    <xf numFmtId="0" fontId="0" fillId="9" borderId="0" xfId="0" applyFill="1" applyAlignment="1">
      <alignment vertical="center"/>
    </xf>
    <xf numFmtId="0" fontId="21" fillId="9" borderId="0" xfId="0" applyFont="1" applyFill="1"/>
    <xf numFmtId="0" fontId="21" fillId="10" borderId="0" xfId="0" applyFont="1" applyFill="1"/>
    <xf numFmtId="0" fontId="0" fillId="10" borderId="0" xfId="0" applyFill="1" applyAlignment="1">
      <alignment vertical="center"/>
    </xf>
    <xf numFmtId="0" fontId="23" fillId="2" borderId="0" xfId="0" applyFont="1" applyFill="1"/>
    <xf numFmtId="0" fontId="0" fillId="2" borderId="1" xfId="0" applyFill="1" applyBorder="1"/>
    <xf numFmtId="164" fontId="0" fillId="2" borderId="1" xfId="0" applyNumberFormat="1" applyFill="1" applyBorder="1" applyAlignment="1">
      <alignment horizontal="center"/>
    </xf>
    <xf numFmtId="0" fontId="6" fillId="2" borderId="1" xfId="0" applyFont="1" applyFill="1" applyBorder="1" applyAlignment="1">
      <alignment vertical="center" wrapText="1"/>
    </xf>
    <xf numFmtId="0" fontId="0" fillId="2" borderId="11" xfId="0" applyFill="1" applyBorder="1" applyAlignment="1">
      <alignment horizontal="center" vertical="center"/>
    </xf>
    <xf numFmtId="0" fontId="0" fillId="2" borderId="11" xfId="0" applyFill="1" applyBorder="1" applyAlignment="1">
      <alignment vertical="center"/>
    </xf>
    <xf numFmtId="0" fontId="0" fillId="2" borderId="0" xfId="0" applyFill="1" applyBorder="1" applyAlignment="1">
      <alignment horizontal="center" vertical="center"/>
    </xf>
    <xf numFmtId="0" fontId="20" fillId="3" borderId="2" xfId="0" applyFont="1" applyFill="1" applyBorder="1" applyAlignment="1">
      <alignment vertical="center"/>
    </xf>
    <xf numFmtId="0" fontId="20" fillId="3" borderId="2" xfId="0" applyFont="1" applyFill="1" applyBorder="1" applyAlignment="1">
      <alignment horizontal="center"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6" fillId="2" borderId="2" xfId="0" applyFont="1" applyFill="1" applyBorder="1" applyAlignment="1">
      <alignment vertical="center" wrapText="1"/>
    </xf>
    <xf numFmtId="0" fontId="0" fillId="2" borderId="1" xfId="0" applyFont="1" applyFill="1" applyBorder="1" applyAlignment="1">
      <alignment vertical="center"/>
    </xf>
    <xf numFmtId="0" fontId="24" fillId="2" borderId="0" xfId="0" applyFont="1" applyFill="1" applyAlignment="1">
      <alignment horizontal="center" vertical="center"/>
    </xf>
    <xf numFmtId="0" fontId="9" fillId="2" borderId="0"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33" fillId="2" borderId="0" xfId="0" applyFont="1" applyFill="1" applyAlignment="1">
      <alignment horizontal="left"/>
    </xf>
    <xf numFmtId="0" fontId="36" fillId="3" borderId="2" xfId="0" applyFont="1" applyFill="1" applyBorder="1" applyAlignment="1">
      <alignment vertical="center"/>
    </xf>
    <xf numFmtId="0" fontId="37" fillId="2" borderId="1" xfId="0" applyFont="1" applyFill="1" applyBorder="1" applyAlignment="1">
      <alignment horizontal="center" vertical="center"/>
    </xf>
    <xf numFmtId="0" fontId="37" fillId="2" borderId="2" xfId="0" applyFont="1" applyFill="1" applyBorder="1" applyAlignment="1">
      <alignment horizontal="center" vertical="center"/>
    </xf>
    <xf numFmtId="0" fontId="25" fillId="2" borderId="0" xfId="0" applyFont="1" applyFill="1" applyAlignment="1">
      <alignment horizontal="center" vertical="center"/>
    </xf>
    <xf numFmtId="0" fontId="0" fillId="2" borderId="11" xfId="0" applyFill="1" applyBorder="1" applyAlignment="1">
      <alignment horizontal="left" vertical="center"/>
    </xf>
    <xf numFmtId="0" fontId="0" fillId="2" borderId="1" xfId="0" applyFill="1" applyBorder="1" applyAlignment="1">
      <alignment horizontal="left" vertical="center"/>
    </xf>
    <xf numFmtId="9" fontId="0" fillId="2" borderId="31" xfId="0" applyNumberFormat="1" applyFill="1" applyBorder="1"/>
    <xf numFmtId="0" fontId="0" fillId="7" borderId="31" xfId="0" applyFill="1" applyBorder="1"/>
    <xf numFmtId="3" fontId="0" fillId="2" borderId="11" xfId="0" applyNumberFormat="1" applyFill="1" applyBorder="1" applyAlignment="1">
      <alignment horizontal="center" vertical="center"/>
    </xf>
    <xf numFmtId="3" fontId="0" fillId="2" borderId="1" xfId="0" applyNumberFormat="1" applyFill="1" applyBorder="1" applyAlignment="1">
      <alignment horizontal="center" vertical="center"/>
    </xf>
    <xf numFmtId="0" fontId="32" fillId="3" borderId="1" xfId="0" applyFont="1" applyFill="1" applyBorder="1" applyAlignment="1">
      <alignment vertical="center"/>
    </xf>
    <xf numFmtId="0" fontId="32" fillId="3" borderId="1" xfId="0" applyFont="1" applyFill="1" applyBorder="1" applyAlignment="1">
      <alignment horizontal="center" vertical="center"/>
    </xf>
    <xf numFmtId="0" fontId="20" fillId="3" borderId="1" xfId="0" applyFont="1" applyFill="1" applyBorder="1" applyAlignment="1">
      <alignment vertical="center"/>
    </xf>
    <xf numFmtId="0" fontId="39" fillId="2" borderId="0" xfId="0" applyFont="1" applyFill="1" applyAlignment="1">
      <alignment horizontal="left" vertical="center"/>
    </xf>
    <xf numFmtId="0" fontId="40" fillId="2" borderId="0" xfId="0" applyFont="1" applyFill="1"/>
    <xf numFmtId="0" fontId="42" fillId="2" borderId="0" xfId="2" applyFont="1" applyFill="1" applyAlignment="1">
      <alignment horizontal="left" vertical="center"/>
    </xf>
    <xf numFmtId="0" fontId="19" fillId="10" borderId="0" xfId="0" applyFont="1" applyFill="1" applyAlignment="1">
      <alignment horizontal="left" vertical="center"/>
    </xf>
    <xf numFmtId="0" fontId="19" fillId="9" borderId="0" xfId="0" applyFont="1" applyFill="1" applyAlignment="1">
      <alignment horizontal="left" vertical="center"/>
    </xf>
    <xf numFmtId="0" fontId="9" fillId="2" borderId="0" xfId="0" applyFont="1" applyFill="1" applyBorder="1" applyAlignment="1">
      <alignment horizontal="center"/>
    </xf>
    <xf numFmtId="0" fontId="0" fillId="11" borderId="4" xfId="0" applyFill="1" applyBorder="1" applyAlignment="1">
      <alignment horizontal="center" vertical="center"/>
    </xf>
    <xf numFmtId="0" fontId="0" fillId="11" borderId="29" xfId="0" applyFill="1" applyBorder="1" applyAlignment="1">
      <alignment horizontal="center" vertical="center"/>
    </xf>
    <xf numFmtId="0" fontId="5" fillId="2" borderId="2" xfId="0" applyFont="1" applyFill="1" applyBorder="1" applyAlignment="1">
      <alignment vertical="center" wrapText="1"/>
    </xf>
    <xf numFmtId="165" fontId="0" fillId="2" borderId="2" xfId="0" applyNumberFormat="1" applyFill="1" applyBorder="1" applyAlignment="1">
      <alignment horizontal="center" vertical="center"/>
    </xf>
    <xf numFmtId="168" fontId="0" fillId="2" borderId="1" xfId="0" applyNumberFormat="1" applyFill="1" applyBorder="1" applyAlignment="1">
      <alignment horizontal="center" vertical="center"/>
    </xf>
    <xf numFmtId="2" fontId="0" fillId="2" borderId="2" xfId="0" applyNumberFormat="1" applyFill="1" applyBorder="1" applyAlignment="1">
      <alignment horizontal="center" vertical="center"/>
    </xf>
    <xf numFmtId="165" fontId="0" fillId="2" borderId="1" xfId="0" applyNumberFormat="1" applyFill="1" applyBorder="1" applyAlignment="1">
      <alignment horizontal="center" vertical="center"/>
    </xf>
    <xf numFmtId="0" fontId="0" fillId="2" borderId="3" xfId="0" applyFill="1" applyBorder="1" applyAlignment="1">
      <alignment horizontal="center" vertical="center"/>
    </xf>
    <xf numFmtId="9" fontId="0" fillId="11" borderId="29" xfId="1" applyFont="1" applyFill="1" applyBorder="1" applyAlignment="1">
      <alignment horizontal="center" vertical="center"/>
    </xf>
    <xf numFmtId="3" fontId="0" fillId="11" borderId="4" xfId="0" applyNumberFormat="1" applyFill="1" applyBorder="1" applyAlignment="1">
      <alignment horizontal="center" vertical="center"/>
    </xf>
    <xf numFmtId="1" fontId="9" fillId="2" borderId="11" xfId="0" applyNumberFormat="1" applyFont="1" applyFill="1" applyBorder="1" applyAlignment="1">
      <alignment horizontal="center" vertical="center"/>
    </xf>
    <xf numFmtId="3" fontId="9" fillId="2" borderId="1" xfId="0" applyNumberFormat="1" applyFont="1" applyFill="1" applyBorder="1" applyAlignment="1">
      <alignment horizontal="center" vertical="center"/>
    </xf>
    <xf numFmtId="3" fontId="9" fillId="2" borderId="2" xfId="0" applyNumberFormat="1" applyFont="1" applyFill="1" applyBorder="1" applyAlignment="1">
      <alignment horizontal="center" vertical="center"/>
    </xf>
    <xf numFmtId="0" fontId="0" fillId="2" borderId="32" xfId="0" applyFill="1" applyBorder="1" applyAlignment="1">
      <alignment horizontal="center" vertical="center"/>
    </xf>
    <xf numFmtId="2" fontId="0" fillId="2" borderId="3" xfId="0" applyNumberFormat="1" applyFill="1" applyBorder="1" applyAlignment="1">
      <alignment horizontal="center" vertical="center"/>
    </xf>
    <xf numFmtId="0" fontId="0" fillId="2" borderId="32" xfId="0" applyFill="1" applyBorder="1" applyAlignment="1">
      <alignment vertical="center" wrapText="1"/>
    </xf>
    <xf numFmtId="9" fontId="0" fillId="2" borderId="32" xfId="1" applyNumberFormat="1" applyFont="1" applyFill="1" applyBorder="1" applyAlignment="1">
      <alignment horizontal="center" vertical="center"/>
    </xf>
    <xf numFmtId="0" fontId="9" fillId="2" borderId="0" xfId="0" applyFont="1" applyFill="1" applyAlignment="1">
      <alignment vertical="center"/>
    </xf>
    <xf numFmtId="0" fontId="9" fillId="2" borderId="0" xfId="0" applyFont="1" applyFill="1" applyAlignment="1">
      <alignment horizontal="center" vertical="center"/>
    </xf>
    <xf numFmtId="0" fontId="4" fillId="2" borderId="2" xfId="0" applyFont="1" applyFill="1" applyBorder="1" applyAlignment="1">
      <alignment vertical="center" wrapText="1"/>
    </xf>
    <xf numFmtId="0" fontId="4" fillId="2" borderId="1" xfId="0" applyFont="1" applyFill="1" applyBorder="1" applyAlignment="1">
      <alignment vertical="center" wrapText="1"/>
    </xf>
    <xf numFmtId="3" fontId="0" fillId="6" borderId="1" xfId="0" applyNumberFormat="1" applyFill="1" applyBorder="1" applyAlignment="1" applyProtection="1">
      <alignment horizontal="center" vertical="center"/>
      <protection locked="0"/>
    </xf>
    <xf numFmtId="3" fontId="0" fillId="6" borderId="0" xfId="0" applyNumberFormat="1" applyFill="1" applyAlignment="1" applyProtection="1">
      <alignment horizontal="center" vertical="center"/>
      <protection locked="0"/>
    </xf>
    <xf numFmtId="3" fontId="26" fillId="6" borderId="11" xfId="0" applyNumberFormat="1" applyFont="1" applyFill="1" applyBorder="1" applyAlignment="1" applyProtection="1">
      <alignment horizontal="center" vertical="center"/>
      <protection locked="0"/>
    </xf>
    <xf numFmtId="3" fontId="26" fillId="6" borderId="29" xfId="0" applyNumberFormat="1" applyFont="1" applyFill="1" applyBorder="1" applyAlignment="1" applyProtection="1">
      <alignment horizontal="center" vertical="center"/>
      <protection locked="0"/>
    </xf>
    <xf numFmtId="3" fontId="26" fillId="6" borderId="8" xfId="0" applyNumberFormat="1" applyFont="1" applyFill="1" applyBorder="1" applyAlignment="1" applyProtection="1">
      <alignment horizontal="center" vertical="center"/>
      <protection locked="0"/>
    </xf>
    <xf numFmtId="3" fontId="26" fillId="6" borderId="10" xfId="0" applyNumberFormat="1" applyFont="1" applyFill="1" applyBorder="1" applyAlignment="1" applyProtection="1">
      <alignment horizontal="center" vertical="center"/>
      <protection locked="0"/>
    </xf>
    <xf numFmtId="3" fontId="26" fillId="6" borderId="7" xfId="0" applyNumberFormat="1" applyFont="1" applyFill="1" applyBorder="1" applyAlignment="1" applyProtection="1">
      <alignment horizontal="center" vertical="center"/>
      <protection locked="0"/>
    </xf>
    <xf numFmtId="0" fontId="0" fillId="6" borderId="14" xfId="0" applyFill="1" applyBorder="1" applyAlignment="1" applyProtection="1">
      <alignment horizontal="center" vertical="center"/>
      <protection locked="0"/>
    </xf>
    <xf numFmtId="3" fontId="0" fillId="6" borderId="14" xfId="0" applyNumberFormat="1" applyFill="1" applyBorder="1" applyAlignment="1" applyProtection="1">
      <alignment horizontal="center" vertical="center"/>
      <protection locked="0"/>
    </xf>
    <xf numFmtId="3" fontId="0" fillId="6" borderId="0" xfId="0" applyNumberFormat="1" applyFont="1" applyFill="1" applyBorder="1" applyAlignment="1" applyProtection="1">
      <alignment horizontal="center" vertical="center"/>
      <protection locked="0"/>
    </xf>
    <xf numFmtId="165" fontId="26" fillId="6" borderId="25" xfId="0" applyNumberFormat="1" applyFont="1" applyFill="1" applyBorder="1" applyAlignment="1" applyProtection="1">
      <alignment horizontal="center" vertical="center"/>
      <protection locked="0"/>
    </xf>
    <xf numFmtId="3" fontId="0" fillId="6" borderId="11" xfId="0" applyNumberFormat="1" applyFill="1" applyBorder="1" applyAlignment="1" applyProtection="1">
      <alignment horizontal="center" vertical="center"/>
      <protection locked="0"/>
    </xf>
    <xf numFmtId="166" fontId="0" fillId="6" borderId="2" xfId="0" applyNumberFormat="1" applyFill="1" applyBorder="1" applyAlignment="1" applyProtection="1">
      <alignment horizontal="center" vertical="center"/>
      <protection locked="0"/>
    </xf>
    <xf numFmtId="165" fontId="45" fillId="6" borderId="1" xfId="0" applyNumberFormat="1" applyFont="1" applyFill="1" applyBorder="1" applyAlignment="1" applyProtection="1">
      <alignment horizontal="center" vertical="center"/>
      <protection locked="0"/>
    </xf>
    <xf numFmtId="0" fontId="0" fillId="6" borderId="11" xfId="0" applyFill="1" applyBorder="1" applyAlignment="1" applyProtection="1">
      <alignment horizontal="left" vertical="center"/>
      <protection locked="0"/>
    </xf>
    <xf numFmtId="0" fontId="4" fillId="6" borderId="1" xfId="0" applyFont="1" applyFill="1" applyBorder="1" applyAlignment="1" applyProtection="1">
      <alignment horizontal="left" vertical="center" wrapText="1"/>
      <protection locked="0"/>
    </xf>
    <xf numFmtId="9" fontId="0" fillId="6" borderId="1" xfId="1" applyFont="1" applyFill="1" applyBorder="1" applyAlignment="1" applyProtection="1">
      <alignment horizontal="center" vertical="center"/>
      <protection locked="0"/>
    </xf>
    <xf numFmtId="0" fontId="0" fillId="6" borderId="1" xfId="0" applyFill="1" applyBorder="1" applyAlignment="1" applyProtection="1">
      <alignment horizontal="left" vertical="center"/>
      <protection locked="0"/>
    </xf>
    <xf numFmtId="0" fontId="0" fillId="11" borderId="4" xfId="0" applyFill="1" applyBorder="1" applyAlignment="1">
      <alignment vertical="center" wrapText="1"/>
    </xf>
    <xf numFmtId="0" fontId="0" fillId="11" borderId="34" xfId="0" applyFill="1" applyBorder="1" applyAlignment="1">
      <alignment vertical="center" wrapText="1"/>
    </xf>
    <xf numFmtId="0" fontId="0" fillId="2" borderId="35" xfId="0" applyFill="1" applyBorder="1" applyAlignment="1">
      <alignment horizontal="center" vertical="center"/>
    </xf>
    <xf numFmtId="0" fontId="0" fillId="11" borderId="36" xfId="0" applyFill="1" applyBorder="1" applyAlignment="1">
      <alignment vertical="center" wrapText="1"/>
    </xf>
    <xf numFmtId="4" fontId="0" fillId="11" borderId="36" xfId="0" applyNumberFormat="1" applyFill="1" applyBorder="1" applyAlignment="1">
      <alignment horizontal="center" vertical="center"/>
    </xf>
    <xf numFmtId="0" fontId="0" fillId="11" borderId="36" xfId="0" applyFill="1" applyBorder="1" applyAlignment="1">
      <alignment horizontal="center" vertical="center"/>
    </xf>
    <xf numFmtId="0" fontId="49" fillId="2" borderId="0" xfId="0" applyFont="1" applyFill="1"/>
    <xf numFmtId="166" fontId="0" fillId="6" borderId="2" xfId="0" applyNumberFormat="1" applyFont="1" applyFill="1" applyBorder="1" applyAlignment="1" applyProtection="1">
      <alignment horizontal="center" vertical="center"/>
      <protection locked="0"/>
    </xf>
    <xf numFmtId="0" fontId="0" fillId="2" borderId="2" xfId="0" applyFill="1" applyBorder="1" applyAlignment="1" applyProtection="1">
      <alignment horizontal="left" vertical="center" wrapText="1"/>
      <protection locked="0"/>
    </xf>
    <xf numFmtId="3" fontId="26" fillId="6" borderId="17" xfId="0" applyNumberFormat="1" applyFont="1" applyFill="1" applyBorder="1" applyAlignment="1" applyProtection="1">
      <alignment horizontal="center" vertical="center"/>
      <protection locked="0"/>
    </xf>
    <xf numFmtId="4" fontId="0" fillId="6" borderId="30" xfId="0" applyNumberFormat="1" applyFill="1" applyBorder="1" applyAlignment="1" applyProtection="1">
      <alignment horizontal="center" vertical="center"/>
      <protection locked="0"/>
    </xf>
    <xf numFmtId="3" fontId="26" fillId="6" borderId="16" xfId="0" applyNumberFormat="1" applyFont="1" applyFill="1" applyBorder="1" applyAlignment="1" applyProtection="1">
      <alignment horizontal="center" vertical="center"/>
      <protection locked="0"/>
    </xf>
    <xf numFmtId="3" fontId="26" fillId="6" borderId="38" xfId="0" applyNumberFormat="1" applyFont="1" applyFill="1" applyBorder="1" applyAlignment="1" applyProtection="1">
      <alignment horizontal="center" vertical="center"/>
      <protection locked="0"/>
    </xf>
    <xf numFmtId="3" fontId="26" fillId="6" borderId="18" xfId="0" applyNumberFormat="1" applyFont="1" applyFill="1" applyBorder="1" applyAlignment="1" applyProtection="1">
      <alignment horizontal="center" vertical="center"/>
      <protection locked="0"/>
    </xf>
    <xf numFmtId="168" fontId="0" fillId="6" borderId="0" xfId="0" applyNumberFormat="1" applyFont="1" applyFill="1" applyBorder="1" applyAlignment="1" applyProtection="1">
      <alignment horizontal="center" vertical="center"/>
      <protection locked="0"/>
    </xf>
    <xf numFmtId="168" fontId="0" fillId="6" borderId="14" xfId="0" applyNumberFormat="1" applyFont="1" applyFill="1" applyBorder="1" applyAlignment="1" applyProtection="1">
      <alignment horizontal="center" vertical="center"/>
      <protection locked="0"/>
    </xf>
    <xf numFmtId="0" fontId="53" fillId="2" borderId="0" xfId="0" applyFont="1" applyFill="1" applyAlignment="1">
      <alignment horizontal="left"/>
    </xf>
    <xf numFmtId="0" fontId="53" fillId="2" borderId="0" xfId="0" applyFont="1" applyFill="1" applyAlignment="1">
      <alignment horizontal="left" vertical="center"/>
    </xf>
    <xf numFmtId="0" fontId="53" fillId="2" borderId="0" xfId="0" applyFont="1" applyFill="1"/>
    <xf numFmtId="0" fontId="2" fillId="2" borderId="11" xfId="0" applyFont="1" applyFill="1" applyBorder="1" applyAlignment="1">
      <alignment vertical="center" wrapText="1"/>
    </xf>
    <xf numFmtId="0" fontId="2" fillId="2" borderId="11" xfId="0" applyFont="1" applyFill="1" applyBorder="1" applyAlignment="1">
      <alignment horizontal="left" vertical="center"/>
    </xf>
    <xf numFmtId="0" fontId="2" fillId="2" borderId="2" xfId="0" applyFont="1" applyFill="1" applyBorder="1" applyAlignment="1">
      <alignment horizontal="left" vertical="center"/>
    </xf>
    <xf numFmtId="0" fontId="2" fillId="2" borderId="11" xfId="0" applyFont="1" applyFill="1" applyBorder="1" applyAlignment="1">
      <alignment horizontal="left" vertical="center" wrapText="1"/>
    </xf>
    <xf numFmtId="0" fontId="2" fillId="2" borderId="1" xfId="0" applyFont="1" applyFill="1" applyBorder="1" applyAlignment="1">
      <alignment vertical="center" wrapText="1"/>
    </xf>
    <xf numFmtId="0" fontId="2" fillId="2" borderId="4"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2" xfId="0" applyFont="1" applyFill="1" applyBorder="1" applyAlignment="1">
      <alignment vertical="center" wrapText="1"/>
    </xf>
    <xf numFmtId="0" fontId="0" fillId="2" borderId="1" xfId="0" applyFill="1" applyBorder="1" applyAlignment="1">
      <alignment vertical="center" wrapText="1"/>
    </xf>
    <xf numFmtId="9" fontId="2" fillId="11" borderId="29" xfId="0" applyNumberFormat="1" applyFont="1" applyFill="1" applyBorder="1" applyAlignment="1">
      <alignment horizontal="left" vertical="center" wrapText="1"/>
    </xf>
    <xf numFmtId="9" fontId="2" fillId="11" borderId="4" xfId="0" applyNumberFormat="1" applyFont="1" applyFill="1" applyBorder="1" applyAlignment="1">
      <alignment horizontal="left" vertical="center" wrapText="1"/>
    </xf>
    <xf numFmtId="9" fontId="2" fillId="2" borderId="1" xfId="0" applyNumberFormat="1" applyFont="1" applyFill="1" applyBorder="1" applyAlignment="1">
      <alignment horizontal="left" vertical="center" wrapText="1"/>
    </xf>
    <xf numFmtId="9" fontId="2" fillId="2" borderId="35" xfId="0" applyNumberFormat="1" applyFont="1" applyFill="1" applyBorder="1" applyAlignment="1">
      <alignment horizontal="left" vertical="center" wrapText="1"/>
    </xf>
    <xf numFmtId="9" fontId="2" fillId="11" borderId="36" xfId="0" applyNumberFormat="1" applyFont="1" applyFill="1" applyBorder="1" applyAlignment="1">
      <alignment horizontal="left" vertical="center" wrapText="1"/>
    </xf>
    <xf numFmtId="9" fontId="2" fillId="2" borderId="3" xfId="0" applyNumberFormat="1" applyFont="1" applyFill="1" applyBorder="1" applyAlignment="1">
      <alignment horizontal="left" vertical="center" wrapText="1"/>
    </xf>
    <xf numFmtId="0" fontId="2" fillId="2" borderId="32" xfId="0" applyFont="1" applyFill="1" applyBorder="1" applyAlignment="1">
      <alignment horizontal="left" vertical="center" wrapText="1"/>
    </xf>
    <xf numFmtId="0" fontId="0" fillId="2" borderId="35" xfId="0" applyFill="1" applyBorder="1" applyAlignment="1">
      <alignment vertical="center" wrapText="1"/>
    </xf>
    <xf numFmtId="4" fontId="0" fillId="2" borderId="35" xfId="0" applyNumberFormat="1" applyFill="1" applyBorder="1" applyAlignment="1">
      <alignment horizontal="center" vertical="center"/>
    </xf>
    <xf numFmtId="0" fontId="36" fillId="3" borderId="39" xfId="0" applyFont="1" applyFill="1" applyBorder="1" applyAlignment="1">
      <alignment vertical="center"/>
    </xf>
    <xf numFmtId="0" fontId="20" fillId="3" borderId="41" xfId="0" applyFont="1" applyFill="1" applyBorder="1" applyAlignment="1">
      <alignment horizontal="center" vertical="center"/>
    </xf>
    <xf numFmtId="0" fontId="20" fillId="3" borderId="40" xfId="0" applyFont="1" applyFill="1" applyBorder="1" applyAlignment="1">
      <alignment horizontal="center" vertical="center"/>
    </xf>
    <xf numFmtId="0" fontId="20" fillId="3" borderId="39" xfId="0" applyFont="1" applyFill="1" applyBorder="1" applyAlignment="1">
      <alignment horizontal="center" vertical="center"/>
    </xf>
    <xf numFmtId="0" fontId="36" fillId="3" borderId="41" xfId="0" applyFont="1" applyFill="1" applyBorder="1" applyAlignment="1">
      <alignment vertical="center"/>
    </xf>
    <xf numFmtId="0" fontId="20" fillId="3" borderId="40" xfId="0" applyFont="1" applyFill="1" applyBorder="1" applyAlignment="1">
      <alignment vertical="center"/>
    </xf>
    <xf numFmtId="0" fontId="0" fillId="2" borderId="8" xfId="0" applyFill="1" applyBorder="1" applyAlignment="1">
      <alignment vertical="center"/>
    </xf>
    <xf numFmtId="3" fontId="0" fillId="2" borderId="8" xfId="0" applyNumberFormat="1" applyFill="1" applyBorder="1" applyAlignment="1">
      <alignment horizontal="center" vertical="center"/>
    </xf>
    <xf numFmtId="9" fontId="2" fillId="2" borderId="8" xfId="0" applyNumberFormat="1" applyFont="1" applyFill="1" applyBorder="1" applyAlignment="1">
      <alignment horizontal="left" vertical="center" wrapText="1"/>
    </xf>
    <xf numFmtId="0" fontId="48" fillId="3" borderId="39" xfId="0" applyFont="1" applyFill="1" applyBorder="1" applyAlignment="1">
      <alignment horizontal="center" vertical="center"/>
    </xf>
    <xf numFmtId="0" fontId="47" fillId="3" borderId="41" xfId="0" applyFont="1" applyFill="1" applyBorder="1" applyAlignment="1">
      <alignment vertical="center"/>
    </xf>
    <xf numFmtId="0" fontId="38" fillId="3" borderId="41" xfId="0" applyFont="1" applyFill="1" applyBorder="1" applyAlignment="1">
      <alignment vertical="center"/>
    </xf>
    <xf numFmtId="0" fontId="38" fillId="3" borderId="40" xfId="0" applyFont="1" applyFill="1" applyBorder="1" applyAlignment="1">
      <alignment horizontal="center" vertical="center"/>
    </xf>
    <xf numFmtId="3" fontId="9" fillId="2" borderId="11" xfId="0" applyNumberFormat="1" applyFont="1" applyFill="1" applyBorder="1" applyAlignment="1">
      <alignment horizontal="center" vertical="center"/>
    </xf>
    <xf numFmtId="166" fontId="9" fillId="2" borderId="1" xfId="0" applyNumberFormat="1" applyFont="1" applyFill="1" applyBorder="1" applyAlignment="1">
      <alignment horizontal="center" vertical="center"/>
    </xf>
    <xf numFmtId="4" fontId="9" fillId="2" borderId="2" xfId="0" applyNumberFormat="1" applyFont="1" applyFill="1" applyBorder="1" applyAlignment="1">
      <alignment horizontal="center" vertical="center"/>
    </xf>
    <xf numFmtId="166" fontId="9" fillId="2" borderId="11" xfId="0" applyNumberFormat="1" applyFont="1" applyFill="1" applyBorder="1" applyAlignment="1">
      <alignment horizontal="center" vertical="center"/>
    </xf>
    <xf numFmtId="166" fontId="9" fillId="2" borderId="2" xfId="0" applyNumberFormat="1" applyFont="1" applyFill="1" applyBorder="1" applyAlignment="1">
      <alignment horizontal="center" vertical="center"/>
    </xf>
    <xf numFmtId="168" fontId="9" fillId="2" borderId="11" xfId="0" applyNumberFormat="1" applyFont="1" applyFill="1" applyBorder="1" applyAlignment="1">
      <alignment horizontal="center" vertical="center"/>
    </xf>
    <xf numFmtId="167" fontId="9" fillId="2" borderId="2" xfId="1" applyNumberFormat="1" applyFont="1" applyFill="1" applyBorder="1" applyAlignment="1">
      <alignment horizontal="center" vertical="center"/>
    </xf>
    <xf numFmtId="0" fontId="0" fillId="2" borderId="3" xfId="0" applyFill="1" applyBorder="1" applyAlignment="1">
      <alignment horizontal="center" vertical="center"/>
    </xf>
    <xf numFmtId="0" fontId="0" fillId="2" borderId="0" xfId="0" applyFill="1" applyAlignment="1" applyProtection="1">
      <alignment vertical="center"/>
      <protection hidden="1"/>
    </xf>
    <xf numFmtId="0" fontId="0" fillId="2" borderId="0" xfId="0" applyFill="1" applyProtection="1">
      <protection hidden="1"/>
    </xf>
    <xf numFmtId="0" fontId="0" fillId="2" borderId="0" xfId="0" applyFill="1" applyAlignment="1" applyProtection="1">
      <alignment horizontal="center"/>
      <protection hidden="1"/>
    </xf>
    <xf numFmtId="0" fontId="0" fillId="2" borderId="0" xfId="0" applyFill="1" applyAlignment="1" applyProtection="1">
      <alignment horizontal="right"/>
      <protection hidden="1"/>
    </xf>
    <xf numFmtId="0" fontId="11" fillId="2" borderId="0" xfId="0" applyFont="1" applyFill="1" applyProtection="1">
      <protection hidden="1"/>
    </xf>
    <xf numFmtId="0" fontId="0" fillId="3" borderId="0" xfId="0" applyFill="1" applyAlignment="1" applyProtection="1">
      <alignment vertical="center"/>
      <protection hidden="1"/>
    </xf>
    <xf numFmtId="0" fontId="40" fillId="2" borderId="0" xfId="0" applyFont="1" applyFill="1" applyProtection="1">
      <protection hidden="1"/>
    </xf>
    <xf numFmtId="0" fontId="0" fillId="2" borderId="5" xfId="0" applyFill="1" applyBorder="1" applyAlignment="1" applyProtection="1">
      <alignment vertical="center"/>
      <protection hidden="1"/>
    </xf>
    <xf numFmtId="0" fontId="14" fillId="2" borderId="0" xfId="0" applyFont="1" applyFill="1" applyAlignment="1" applyProtection="1">
      <alignment vertical="center"/>
      <protection hidden="1"/>
    </xf>
    <xf numFmtId="0" fontId="0" fillId="2" borderId="0" xfId="0" applyFill="1" applyAlignment="1" applyProtection="1">
      <alignment horizontal="center" vertical="center"/>
      <protection hidden="1"/>
    </xf>
    <xf numFmtId="0" fontId="0" fillId="2" borderId="0" xfId="0" applyFill="1" applyAlignment="1" applyProtection="1">
      <alignment horizontal="right" vertical="center"/>
      <protection hidden="1"/>
    </xf>
    <xf numFmtId="0" fontId="0" fillId="2" borderId="0" xfId="0" quotePrefix="1" applyFill="1" applyProtection="1">
      <protection hidden="1"/>
    </xf>
    <xf numFmtId="0" fontId="10" fillId="2" borderId="0" xfId="0" applyFont="1" applyFill="1" applyProtection="1">
      <protection hidden="1"/>
    </xf>
    <xf numFmtId="0" fontId="51" fillId="2" borderId="0" xfId="0" applyFont="1" applyFill="1" applyProtection="1">
      <protection hidden="1"/>
    </xf>
    <xf numFmtId="0" fontId="10" fillId="3" borderId="0" xfId="0" applyFont="1" applyFill="1" applyAlignment="1" applyProtection="1">
      <alignment vertical="center"/>
      <protection hidden="1"/>
    </xf>
    <xf numFmtId="0" fontId="0" fillId="3" borderId="0" xfId="0" applyFill="1" applyAlignment="1" applyProtection="1">
      <alignment horizontal="center" vertical="center"/>
      <protection hidden="1"/>
    </xf>
    <xf numFmtId="0" fontId="9" fillId="2" borderId="2" xfId="0" applyFont="1" applyFill="1" applyBorder="1" applyAlignment="1" applyProtection="1">
      <alignment horizontal="center" vertical="center"/>
      <protection hidden="1"/>
    </xf>
    <xf numFmtId="0" fontId="9" fillId="2" borderId="2" xfId="0" applyFont="1" applyFill="1" applyBorder="1" applyAlignment="1" applyProtection="1">
      <alignment vertical="center"/>
      <protection hidden="1"/>
    </xf>
    <xf numFmtId="0" fontId="0" fillId="2" borderId="1" xfId="0" applyFill="1" applyBorder="1" applyAlignment="1" applyProtection="1">
      <alignment horizontal="center" vertical="center"/>
      <protection hidden="1"/>
    </xf>
    <xf numFmtId="0" fontId="0" fillId="2" borderId="1" xfId="0" applyFont="1" applyFill="1" applyBorder="1" applyAlignment="1" applyProtection="1">
      <alignment vertical="center"/>
      <protection hidden="1"/>
    </xf>
    <xf numFmtId="0" fontId="2" fillId="2" borderId="1" xfId="0" applyFont="1" applyFill="1" applyBorder="1" applyAlignment="1" applyProtection="1">
      <alignment vertical="center"/>
      <protection hidden="1"/>
    </xf>
    <xf numFmtId="0" fontId="0" fillId="2" borderId="0" xfId="0" applyFont="1" applyFill="1" applyAlignment="1" applyProtection="1">
      <alignment vertical="center"/>
      <protection hidden="1"/>
    </xf>
    <xf numFmtId="0" fontId="2" fillId="2" borderId="0" xfId="0" applyFont="1" applyFill="1" applyAlignment="1" applyProtection="1">
      <alignment vertical="center"/>
      <protection hidden="1"/>
    </xf>
    <xf numFmtId="0" fontId="2" fillId="2" borderId="1" xfId="0" applyFont="1" applyFill="1" applyBorder="1" applyAlignment="1" applyProtection="1">
      <alignment vertical="center" wrapText="1"/>
      <protection hidden="1"/>
    </xf>
    <xf numFmtId="0" fontId="4" fillId="2" borderId="1" xfId="0" applyFont="1" applyFill="1" applyBorder="1" applyAlignment="1" applyProtection="1">
      <alignment vertical="center"/>
      <protection hidden="1"/>
    </xf>
    <xf numFmtId="0" fontId="0" fillId="2" borderId="11" xfId="0" applyFill="1" applyBorder="1" applyAlignment="1" applyProtection="1">
      <alignment horizontal="center" vertical="center"/>
      <protection hidden="1"/>
    </xf>
    <xf numFmtId="0" fontId="0" fillId="2" borderId="11" xfId="0" applyFill="1" applyBorder="1" applyAlignment="1" applyProtection="1">
      <alignment vertical="center"/>
      <protection hidden="1"/>
    </xf>
    <xf numFmtId="0" fontId="29" fillId="2" borderId="11" xfId="0" applyFont="1" applyFill="1" applyBorder="1" applyAlignment="1" applyProtection="1">
      <alignment vertical="center" wrapText="1"/>
      <protection hidden="1"/>
    </xf>
    <xf numFmtId="0" fontId="4" fillId="2" borderId="11" xfId="0" applyFont="1" applyFill="1" applyBorder="1" applyAlignment="1" applyProtection="1">
      <alignment vertical="center"/>
      <protection hidden="1"/>
    </xf>
    <xf numFmtId="0" fontId="0" fillId="2" borderId="29" xfId="0" applyFill="1" applyBorder="1" applyAlignment="1" applyProtection="1">
      <alignment horizontal="center" vertical="center"/>
      <protection hidden="1"/>
    </xf>
    <xf numFmtId="0" fontId="0" fillId="2" borderId="10" xfId="0" applyFill="1" applyBorder="1" applyAlignment="1" applyProtection="1">
      <alignment horizontal="center" vertical="center"/>
      <protection hidden="1"/>
    </xf>
    <xf numFmtId="0" fontId="0" fillId="2" borderId="4" xfId="0" applyFill="1" applyBorder="1" applyAlignment="1" applyProtection="1">
      <alignment horizontal="center" vertical="center"/>
      <protection hidden="1"/>
    </xf>
    <xf numFmtId="3" fontId="26" fillId="2" borderId="4" xfId="0" applyNumberFormat="1" applyFont="1" applyFill="1" applyBorder="1" applyAlignment="1" applyProtection="1">
      <alignment horizontal="center" vertical="center"/>
      <protection hidden="1"/>
    </xf>
    <xf numFmtId="0" fontId="29" fillId="2" borderId="4" xfId="0" applyFont="1" applyFill="1" applyBorder="1" applyAlignment="1" applyProtection="1">
      <alignment vertical="center" wrapText="1"/>
      <protection hidden="1"/>
    </xf>
    <xf numFmtId="0" fontId="29" fillId="8" borderId="4" xfId="0" applyFont="1" applyFill="1" applyBorder="1" applyAlignment="1" applyProtection="1">
      <alignment vertical="center" wrapText="1"/>
      <protection hidden="1"/>
    </xf>
    <xf numFmtId="0" fontId="0" fillId="2" borderId="8" xfId="0" applyFill="1" applyBorder="1" applyAlignment="1" applyProtection="1">
      <alignment horizontal="center" vertical="center"/>
      <protection hidden="1"/>
    </xf>
    <xf numFmtId="0" fontId="4" fillId="2" borderId="4" xfId="0" applyFont="1" applyFill="1" applyBorder="1" applyAlignment="1" applyProtection="1">
      <alignment vertical="center"/>
      <protection hidden="1"/>
    </xf>
    <xf numFmtId="0" fontId="0" fillId="2" borderId="3" xfId="0" applyFill="1" applyBorder="1" applyAlignment="1" applyProtection="1">
      <alignment horizontal="center" vertical="center"/>
      <protection hidden="1"/>
    </xf>
    <xf numFmtId="0" fontId="0" fillId="2" borderId="3" xfId="0" applyFill="1" applyBorder="1" applyAlignment="1" applyProtection="1">
      <alignment vertical="center"/>
      <protection hidden="1"/>
    </xf>
    <xf numFmtId="0" fontId="0" fillId="2" borderId="7" xfId="0" applyFill="1" applyBorder="1" applyAlignment="1" applyProtection="1">
      <alignment horizontal="center" vertical="center"/>
      <protection hidden="1"/>
    </xf>
    <xf numFmtId="0" fontId="29" fillId="2" borderId="7" xfId="0" applyFont="1" applyFill="1" applyBorder="1" applyAlignment="1" applyProtection="1">
      <alignment vertical="center" wrapText="1"/>
      <protection hidden="1"/>
    </xf>
    <xf numFmtId="0" fontId="4" fillId="2" borderId="7" xfId="0" applyFont="1" applyFill="1" applyBorder="1" applyAlignment="1" applyProtection="1">
      <alignment vertical="center"/>
      <protection hidden="1"/>
    </xf>
    <xf numFmtId="0" fontId="0" fillId="2" borderId="1" xfId="0" applyFill="1" applyBorder="1" applyAlignment="1" applyProtection="1">
      <alignment vertical="center"/>
      <protection hidden="1"/>
    </xf>
    <xf numFmtId="0" fontId="6" fillId="2" borderId="1" xfId="0" applyFont="1" applyFill="1" applyBorder="1" applyAlignment="1" applyProtection="1">
      <alignment vertical="center" wrapText="1"/>
      <protection hidden="1"/>
    </xf>
    <xf numFmtId="0" fontId="50" fillId="8" borderId="7" xfId="0" applyFont="1" applyFill="1" applyBorder="1" applyAlignment="1" applyProtection="1">
      <alignment vertical="center"/>
      <protection hidden="1"/>
    </xf>
    <xf numFmtId="0" fontId="4" fillId="2" borderId="1" xfId="0" applyFont="1" applyFill="1" applyBorder="1" applyAlignment="1" applyProtection="1">
      <alignment vertical="center" wrapText="1"/>
      <protection hidden="1"/>
    </xf>
    <xf numFmtId="0" fontId="51" fillId="2" borderId="0" xfId="0" applyFont="1" applyFill="1" applyAlignment="1" applyProtection="1">
      <alignment horizontal="left" vertical="center"/>
      <protection hidden="1"/>
    </xf>
    <xf numFmtId="0" fontId="10" fillId="4" borderId="0" xfId="0" applyFont="1" applyFill="1" applyAlignment="1" applyProtection="1">
      <alignment vertical="center"/>
      <protection hidden="1"/>
    </xf>
    <xf numFmtId="0" fontId="0" fillId="4" borderId="0" xfId="0" applyFill="1" applyAlignment="1" applyProtection="1">
      <alignment horizontal="center" vertical="center"/>
      <protection hidden="1"/>
    </xf>
    <xf numFmtId="0" fontId="0" fillId="2" borderId="0" xfId="0" applyFont="1" applyFill="1" applyProtection="1">
      <protection hidden="1"/>
    </xf>
    <xf numFmtId="0" fontId="16" fillId="2" borderId="0" xfId="0" applyFont="1" applyFill="1" applyAlignment="1" applyProtection="1">
      <alignment vertical="center"/>
      <protection hidden="1"/>
    </xf>
    <xf numFmtId="0" fontId="17" fillId="2" borderId="0" xfId="0" applyFont="1" applyFill="1" applyProtection="1">
      <protection hidden="1"/>
    </xf>
    <xf numFmtId="0" fontId="9" fillId="2" borderId="19" xfId="0" applyFont="1" applyFill="1" applyBorder="1" applyAlignment="1" applyProtection="1">
      <alignment horizontal="center" vertical="center"/>
      <protection hidden="1"/>
    </xf>
    <xf numFmtId="0" fontId="9" fillId="2" borderId="12" xfId="0" applyFont="1" applyFill="1" applyBorder="1" applyAlignment="1" applyProtection="1">
      <alignment vertical="center"/>
      <protection hidden="1"/>
    </xf>
    <xf numFmtId="0" fontId="9" fillId="2" borderId="12" xfId="0" applyFont="1" applyFill="1" applyBorder="1" applyAlignment="1" applyProtection="1">
      <alignment horizontal="center" vertical="center"/>
      <protection hidden="1"/>
    </xf>
    <xf numFmtId="0" fontId="9" fillId="2" borderId="20" xfId="0" applyFont="1" applyFill="1" applyBorder="1" applyAlignment="1" applyProtection="1">
      <alignment horizontal="left" vertical="center"/>
      <protection hidden="1"/>
    </xf>
    <xf numFmtId="0" fontId="0" fillId="2" borderId="21" xfId="0" applyFill="1" applyBorder="1" applyAlignment="1" applyProtection="1">
      <alignment horizontal="center" vertical="center"/>
      <protection hidden="1"/>
    </xf>
    <xf numFmtId="0" fontId="0" fillId="2" borderId="14" xfId="0" applyFill="1" applyBorder="1" applyAlignment="1" applyProtection="1">
      <alignment vertical="center" wrapText="1"/>
      <protection hidden="1"/>
    </xf>
    <xf numFmtId="0" fontId="13" fillId="2" borderId="14" xfId="0" applyFont="1" applyFill="1" applyBorder="1" applyAlignment="1" applyProtection="1">
      <alignment horizontal="center" vertical="center" wrapText="1"/>
      <protection hidden="1"/>
    </xf>
    <xf numFmtId="0" fontId="2" fillId="2" borderId="22" xfId="0" applyFont="1" applyFill="1" applyBorder="1" applyAlignment="1" applyProtection="1">
      <alignment vertical="center" wrapText="1"/>
      <protection hidden="1"/>
    </xf>
    <xf numFmtId="0" fontId="7" fillId="2" borderId="22" xfId="0" applyFont="1" applyFill="1" applyBorder="1" applyAlignment="1" applyProtection="1">
      <alignment vertical="center" wrapText="1"/>
      <protection hidden="1"/>
    </xf>
    <xf numFmtId="0" fontId="0" fillId="2" borderId="0" xfId="0" applyFill="1" applyBorder="1" applyAlignment="1" applyProtection="1">
      <alignment horizontal="center" vertical="center"/>
      <protection hidden="1"/>
    </xf>
    <xf numFmtId="0" fontId="0" fillId="2" borderId="0" xfId="0" applyFill="1" applyBorder="1" applyAlignment="1" applyProtection="1">
      <alignment vertical="center" wrapText="1"/>
      <protection hidden="1"/>
    </xf>
    <xf numFmtId="0" fontId="13"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vertical="center" wrapText="1"/>
      <protection hidden="1"/>
    </xf>
    <xf numFmtId="0" fontId="0" fillId="2" borderId="14" xfId="0" applyFill="1" applyBorder="1" applyAlignment="1" applyProtection="1">
      <alignment horizontal="center" vertical="center"/>
      <protection hidden="1"/>
    </xf>
    <xf numFmtId="0" fontId="0" fillId="2" borderId="14" xfId="0" applyFill="1" applyBorder="1" applyAlignment="1" applyProtection="1">
      <alignment vertical="center"/>
      <protection hidden="1"/>
    </xf>
    <xf numFmtId="0" fontId="11" fillId="2" borderId="14" xfId="0" applyFont="1" applyFill="1" applyBorder="1" applyAlignment="1" applyProtection="1">
      <alignment vertical="center" wrapText="1"/>
      <protection hidden="1"/>
    </xf>
    <xf numFmtId="0" fontId="2" fillId="2" borderId="14" xfId="0" applyFont="1" applyFill="1" applyBorder="1" applyAlignment="1" applyProtection="1">
      <alignment vertical="center" wrapText="1"/>
      <protection hidden="1"/>
    </xf>
    <xf numFmtId="0" fontId="0" fillId="2" borderId="0" xfId="0" applyFill="1" applyBorder="1" applyAlignment="1" applyProtection="1">
      <alignment vertical="center"/>
      <protection hidden="1"/>
    </xf>
    <xf numFmtId="3" fontId="10" fillId="2" borderId="0" xfId="0" applyNumberFormat="1" applyFont="1" applyFill="1" applyBorder="1" applyAlignment="1" applyProtection="1">
      <alignment horizontal="center" vertical="center"/>
      <protection hidden="1"/>
    </xf>
    <xf numFmtId="0" fontId="52" fillId="2" borderId="0" xfId="0" applyFont="1" applyFill="1" applyBorder="1" applyAlignment="1" applyProtection="1">
      <alignment vertical="center" wrapText="1"/>
      <protection hidden="1"/>
    </xf>
    <xf numFmtId="0" fontId="0" fillId="0" borderId="0" xfId="0" applyFill="1" applyAlignment="1" applyProtection="1">
      <alignment vertical="center"/>
      <protection hidden="1"/>
    </xf>
    <xf numFmtId="0" fontId="46" fillId="2" borderId="0" xfId="0" applyFont="1" applyFill="1" applyProtection="1">
      <protection hidden="1"/>
    </xf>
    <xf numFmtId="0" fontId="0" fillId="2" borderId="0" xfId="0" applyFill="1" applyAlignment="1" applyProtection="1">
      <alignment vertical="top"/>
      <protection hidden="1"/>
    </xf>
    <xf numFmtId="0" fontId="0" fillId="2" borderId="14" xfId="0" applyFont="1" applyFill="1" applyBorder="1" applyAlignment="1" applyProtection="1">
      <alignment vertical="center" wrapText="1"/>
      <protection hidden="1"/>
    </xf>
    <xf numFmtId="0" fontId="11" fillId="2" borderId="14" xfId="0" applyFont="1" applyFill="1" applyBorder="1" applyAlignment="1" applyProtection="1">
      <alignment horizontal="center" vertical="center" wrapText="1"/>
      <protection hidden="1"/>
    </xf>
    <xf numFmtId="0" fontId="6" fillId="2" borderId="14" xfId="0" applyFont="1" applyFill="1" applyBorder="1" applyAlignment="1" applyProtection="1">
      <alignment vertical="center"/>
      <protection hidden="1"/>
    </xf>
    <xf numFmtId="3" fontId="26" fillId="2" borderId="16" xfId="0" applyNumberFormat="1" applyFont="1" applyFill="1" applyBorder="1" applyAlignment="1" applyProtection="1">
      <alignment horizontal="center" vertical="center"/>
      <protection hidden="1"/>
    </xf>
    <xf numFmtId="0" fontId="0" fillId="2" borderId="37" xfId="0" applyFill="1" applyBorder="1" applyAlignment="1" applyProtection="1">
      <alignment horizontal="center" vertical="center"/>
      <protection hidden="1"/>
    </xf>
    <xf numFmtId="0" fontId="0" fillId="2" borderId="13" xfId="0" applyFill="1" applyBorder="1" applyAlignment="1" applyProtection="1">
      <alignment horizontal="center" vertical="center" wrapText="1"/>
      <protection hidden="1"/>
    </xf>
    <xf numFmtId="0" fontId="6" fillId="2" borderId="13" xfId="0" applyFont="1" applyFill="1" applyBorder="1" applyAlignment="1" applyProtection="1">
      <alignment vertical="center" wrapText="1"/>
      <protection hidden="1"/>
    </xf>
    <xf numFmtId="0" fontId="0" fillId="2" borderId="18" xfId="0" applyFill="1" applyBorder="1" applyAlignment="1" applyProtection="1">
      <alignment horizontal="center" vertical="center"/>
      <protection hidden="1"/>
    </xf>
    <xf numFmtId="0" fontId="0" fillId="2" borderId="38" xfId="0" applyFill="1" applyBorder="1" applyAlignment="1" applyProtection="1">
      <alignment horizontal="center" vertical="center"/>
      <protection hidden="1"/>
    </xf>
    <xf numFmtId="3" fontId="26" fillId="2" borderId="0" xfId="0" applyNumberFormat="1" applyFont="1" applyFill="1" applyBorder="1" applyAlignment="1" applyProtection="1">
      <alignment horizontal="center" vertical="center"/>
      <protection hidden="1"/>
    </xf>
    <xf numFmtId="0" fontId="29" fillId="2" borderId="0" xfId="0" applyFont="1" applyFill="1" applyBorder="1" applyAlignment="1" applyProtection="1">
      <alignment vertical="center" wrapText="1"/>
      <protection hidden="1"/>
    </xf>
    <xf numFmtId="0" fontId="6" fillId="2" borderId="0" xfId="0" applyFont="1" applyFill="1" applyBorder="1" applyAlignment="1" applyProtection="1">
      <alignment vertical="center"/>
      <protection hidden="1"/>
    </xf>
    <xf numFmtId="0" fontId="0" fillId="2" borderId="30" xfId="0" applyFill="1" applyBorder="1" applyAlignment="1" applyProtection="1">
      <alignment horizontal="center" vertical="center"/>
      <protection hidden="1"/>
    </xf>
    <xf numFmtId="0" fontId="0" fillId="2" borderId="30" xfId="0" applyFill="1" applyBorder="1" applyAlignment="1" applyProtection="1">
      <alignment vertical="center"/>
      <protection hidden="1"/>
    </xf>
    <xf numFmtId="0" fontId="2" fillId="2" borderId="30" xfId="0" applyFont="1" applyFill="1" applyBorder="1" applyAlignment="1" applyProtection="1">
      <alignment vertical="center" wrapText="1"/>
      <protection hidden="1"/>
    </xf>
    <xf numFmtId="0" fontId="6" fillId="2" borderId="30" xfId="0" applyFont="1" applyFill="1" applyBorder="1" applyAlignment="1" applyProtection="1">
      <alignment vertical="center"/>
      <protection hidden="1"/>
    </xf>
    <xf numFmtId="0" fontId="9" fillId="2" borderId="20" xfId="0" applyFont="1" applyFill="1" applyBorder="1" applyAlignment="1" applyProtection="1">
      <alignment horizontal="center" vertical="center"/>
      <protection hidden="1"/>
    </xf>
    <xf numFmtId="0" fontId="13" fillId="2" borderId="22" xfId="0" applyFont="1" applyFill="1" applyBorder="1" applyAlignment="1" applyProtection="1">
      <alignment horizontal="center" vertical="center" wrapText="1"/>
      <protection hidden="1"/>
    </xf>
    <xf numFmtId="0" fontId="0" fillId="2" borderId="0" xfId="0" applyFill="1" applyBorder="1" applyProtection="1">
      <protection hidden="1"/>
    </xf>
    <xf numFmtId="0" fontId="0" fillId="2" borderId="15" xfId="0" applyFill="1" applyBorder="1" applyAlignment="1" applyProtection="1">
      <alignment horizontal="center" vertical="center"/>
      <protection hidden="1"/>
    </xf>
    <xf numFmtId="0" fontId="0" fillId="2" borderId="15" xfId="0" applyFill="1" applyBorder="1" applyAlignment="1" applyProtection="1">
      <alignment vertical="center" wrapText="1"/>
      <protection hidden="1"/>
    </xf>
    <xf numFmtId="0" fontId="13" fillId="2" borderId="15" xfId="0" applyFont="1" applyFill="1" applyBorder="1" applyAlignment="1" applyProtection="1">
      <alignment vertical="center" wrapText="1"/>
      <protection hidden="1"/>
    </xf>
    <xf numFmtId="0" fontId="0" fillId="2" borderId="0" xfId="0" applyFont="1" applyFill="1" applyBorder="1" applyAlignment="1" applyProtection="1">
      <alignment horizontal="center" vertical="center"/>
      <protection hidden="1"/>
    </xf>
    <xf numFmtId="0" fontId="0" fillId="2" borderId="0" xfId="0" applyFont="1" applyFill="1" applyBorder="1" applyAlignment="1" applyProtection="1">
      <alignment vertical="center"/>
      <protection hidden="1"/>
    </xf>
    <xf numFmtId="0" fontId="6" fillId="2" borderId="0" xfId="0" applyFont="1" applyFill="1" applyBorder="1" applyAlignment="1" applyProtection="1">
      <alignment vertical="center" wrapText="1"/>
      <protection hidden="1"/>
    </xf>
    <xf numFmtId="0" fontId="0" fillId="2" borderId="14" xfId="0" applyFill="1" applyBorder="1" applyAlignment="1" applyProtection="1">
      <alignment horizontal="left" vertical="center"/>
      <protection hidden="1"/>
    </xf>
    <xf numFmtId="0" fontId="6" fillId="2" borderId="14" xfId="0" applyFont="1" applyFill="1" applyBorder="1" applyAlignment="1" applyProtection="1">
      <alignment vertical="center" wrapText="1"/>
      <protection hidden="1"/>
    </xf>
    <xf numFmtId="0" fontId="11" fillId="2" borderId="0" xfId="0" applyFont="1" applyFill="1" applyAlignment="1" applyProtection="1">
      <alignment vertical="center" wrapText="1"/>
      <protection hidden="1"/>
    </xf>
    <xf numFmtId="0" fontId="3" fillId="2" borderId="0" xfId="0" applyFont="1" applyFill="1" applyBorder="1" applyAlignment="1" applyProtection="1">
      <alignment horizontal="center" vertical="center"/>
      <protection hidden="1"/>
    </xf>
    <xf numFmtId="0" fontId="11" fillId="2" borderId="23" xfId="0" applyFont="1" applyFill="1" applyBorder="1" applyAlignment="1" applyProtection="1">
      <alignment vertical="center"/>
      <protection hidden="1"/>
    </xf>
    <xf numFmtId="0" fontId="11" fillId="2" borderId="0" xfId="0" applyFont="1" applyFill="1" applyBorder="1" applyAlignment="1" applyProtection="1">
      <alignment vertical="center"/>
      <protection hidden="1"/>
    </xf>
    <xf numFmtId="0" fontId="3" fillId="2" borderId="14" xfId="0" applyFont="1" applyFill="1" applyBorder="1" applyAlignment="1" applyProtection="1">
      <alignment horizontal="center" vertical="center"/>
      <protection hidden="1"/>
    </xf>
    <xf numFmtId="0" fontId="11" fillId="2" borderId="14" xfId="0" applyFont="1" applyFill="1" applyBorder="1" applyAlignment="1" applyProtection="1">
      <alignment vertical="center"/>
      <protection hidden="1"/>
    </xf>
    <xf numFmtId="0" fontId="11" fillId="2" borderId="14" xfId="0" applyFont="1" applyFill="1" applyBorder="1" applyAlignment="1" applyProtection="1">
      <alignment horizontal="center" vertical="center"/>
      <protection hidden="1"/>
    </xf>
    <xf numFmtId="166" fontId="0" fillId="0" borderId="14" xfId="0" applyNumberFormat="1" applyFill="1" applyBorder="1" applyAlignment="1" applyProtection="1">
      <alignment horizontal="center" vertical="center"/>
      <protection hidden="1"/>
    </xf>
    <xf numFmtId="0" fontId="26" fillId="2" borderId="14" xfId="0" applyFont="1" applyFill="1" applyBorder="1" applyAlignment="1" applyProtection="1">
      <alignment vertical="center"/>
      <protection hidden="1"/>
    </xf>
    <xf numFmtId="0" fontId="10" fillId="5" borderId="0" xfId="0" applyFont="1" applyFill="1" applyProtection="1">
      <protection hidden="1"/>
    </xf>
    <xf numFmtId="0" fontId="0" fillId="5" borderId="0" xfId="0" applyFill="1" applyAlignment="1" applyProtection="1">
      <alignment horizontal="center"/>
      <protection hidden="1"/>
    </xf>
    <xf numFmtId="0" fontId="9" fillId="2" borderId="24" xfId="0" applyFont="1" applyFill="1" applyBorder="1" applyAlignment="1" applyProtection="1">
      <alignment horizontal="center" vertical="center"/>
      <protection hidden="1"/>
    </xf>
    <xf numFmtId="0" fontId="9" fillId="2" borderId="24" xfId="0" applyFont="1" applyFill="1" applyBorder="1" applyAlignment="1" applyProtection="1">
      <alignment vertical="center"/>
      <protection hidden="1"/>
    </xf>
    <xf numFmtId="0" fontId="0" fillId="2" borderId="25" xfId="0" applyFont="1" applyFill="1" applyBorder="1" applyAlignment="1" applyProtection="1">
      <alignment horizontal="center" vertical="center"/>
      <protection hidden="1"/>
    </xf>
    <xf numFmtId="0" fontId="0" fillId="0" borderId="25" xfId="0" applyFont="1" applyFill="1" applyBorder="1" applyAlignment="1" applyProtection="1">
      <alignment vertical="center"/>
      <protection hidden="1"/>
    </xf>
    <xf numFmtId="0" fontId="26" fillId="2" borderId="25" xfId="0" applyFont="1" applyFill="1" applyBorder="1" applyAlignment="1" applyProtection="1">
      <alignment horizontal="center" vertical="center"/>
      <protection hidden="1"/>
    </xf>
    <xf numFmtId="0" fontId="29" fillId="2" borderId="25" xfId="0" applyFont="1" applyFill="1" applyBorder="1" applyAlignment="1" applyProtection="1">
      <alignment vertical="center" wrapText="1"/>
      <protection hidden="1"/>
    </xf>
    <xf numFmtId="0" fontId="29" fillId="2" borderId="25" xfId="0" applyFont="1" applyFill="1" applyBorder="1" applyAlignment="1" applyProtection="1">
      <alignment vertical="center"/>
      <protection hidden="1"/>
    </xf>
    <xf numFmtId="0" fontId="0" fillId="2" borderId="26" xfId="0" applyFill="1" applyBorder="1" applyAlignment="1" applyProtection="1">
      <alignment horizontal="center" vertical="center"/>
      <protection hidden="1"/>
    </xf>
    <xf numFmtId="0" fontId="0" fillId="0" borderId="27" xfId="0" applyFill="1" applyBorder="1" applyAlignment="1" applyProtection="1">
      <alignment vertical="center"/>
      <protection hidden="1"/>
    </xf>
    <xf numFmtId="0" fontId="26" fillId="2" borderId="27" xfId="0" applyFont="1" applyFill="1" applyBorder="1" applyAlignment="1" applyProtection="1">
      <alignment horizontal="center" vertical="center"/>
      <protection hidden="1"/>
    </xf>
    <xf numFmtId="165" fontId="26" fillId="2" borderId="26" xfId="0" applyNumberFormat="1" applyFont="1" applyFill="1" applyBorder="1" applyAlignment="1" applyProtection="1">
      <alignment horizontal="center" vertical="center"/>
      <protection hidden="1"/>
    </xf>
    <xf numFmtId="0" fontId="29" fillId="2" borderId="26" xfId="0" applyFont="1" applyFill="1" applyBorder="1" applyAlignment="1" applyProtection="1">
      <alignment vertical="center" wrapText="1"/>
      <protection hidden="1"/>
    </xf>
    <xf numFmtId="0" fontId="29" fillId="2" borderId="26" xfId="0" applyFont="1" applyFill="1" applyBorder="1" applyAlignment="1" applyProtection="1">
      <alignment vertical="center"/>
      <protection hidden="1"/>
    </xf>
    <xf numFmtId="0" fontId="0" fillId="2" borderId="27" xfId="0" applyFill="1" applyBorder="1" applyAlignment="1" applyProtection="1">
      <alignment vertical="center"/>
      <protection hidden="1"/>
    </xf>
    <xf numFmtId="0" fontId="68" fillId="0" borderId="0" xfId="0" applyFont="1" applyFill="1" applyAlignment="1" applyProtection="1">
      <alignment horizontal="center"/>
      <protection hidden="1"/>
    </xf>
    <xf numFmtId="0" fontId="70" fillId="0" borderId="0" xfId="0" applyFont="1" applyFill="1" applyAlignment="1" applyProtection="1">
      <alignment horizontal="center"/>
      <protection hidden="1"/>
    </xf>
    <xf numFmtId="3" fontId="20" fillId="0" borderId="0" xfId="0" applyNumberFormat="1" applyFont="1" applyFill="1" applyAlignment="1" applyProtection="1">
      <alignment vertical="center"/>
      <protection hidden="1"/>
    </xf>
    <xf numFmtId="0" fontId="20" fillId="0" borderId="0" xfId="0" applyFont="1" applyFill="1" applyAlignment="1" applyProtection="1">
      <alignment vertical="center"/>
      <protection hidden="1"/>
    </xf>
    <xf numFmtId="0" fontId="20" fillId="0" borderId="0" xfId="0" applyFont="1" applyFill="1" applyProtection="1">
      <protection hidden="1"/>
    </xf>
    <xf numFmtId="0" fontId="10" fillId="0" borderId="0" xfId="0" applyFont="1" applyFill="1" applyBorder="1" applyProtection="1">
      <protection hidden="1"/>
    </xf>
    <xf numFmtId="0" fontId="10" fillId="0" borderId="0" xfId="0" applyFont="1" applyFill="1" applyProtection="1">
      <protection hidden="1"/>
    </xf>
    <xf numFmtId="0" fontId="10" fillId="0" borderId="0" xfId="0" applyFont="1" applyFill="1" applyBorder="1" applyAlignment="1" applyProtection="1">
      <alignment horizontal="right"/>
      <protection hidden="1"/>
    </xf>
    <xf numFmtId="0" fontId="20" fillId="0" borderId="0" xfId="0" applyFont="1" applyFill="1" applyAlignment="1" applyProtection="1">
      <alignment horizontal="right"/>
      <protection hidden="1"/>
    </xf>
    <xf numFmtId="0" fontId="20" fillId="0" borderId="33" xfId="0" applyFont="1" applyFill="1" applyBorder="1" applyAlignment="1" applyProtection="1">
      <alignment vertical="center"/>
      <protection hidden="1"/>
    </xf>
    <xf numFmtId="0" fontId="10" fillId="0" borderId="0" xfId="0" applyFont="1" applyFill="1" applyBorder="1" applyAlignment="1" applyProtection="1">
      <alignment horizontal="center"/>
      <protection hidden="1"/>
    </xf>
    <xf numFmtId="0" fontId="20" fillId="0" borderId="0" xfId="0" applyFont="1" applyFill="1" applyAlignment="1" applyProtection="1">
      <alignment horizontal="center"/>
      <protection hidden="1"/>
    </xf>
    <xf numFmtId="0" fontId="10" fillId="0" borderId="33" xfId="0" applyFont="1" applyFill="1" applyBorder="1" applyProtection="1">
      <protection hidden="1"/>
    </xf>
    <xf numFmtId="0" fontId="10" fillId="0" borderId="0" xfId="0" applyFont="1" applyFill="1" applyBorder="1" applyAlignment="1" applyProtection="1">
      <alignment vertical="center"/>
      <protection hidden="1"/>
    </xf>
    <xf numFmtId="3" fontId="68" fillId="0" borderId="0" xfId="0" applyNumberFormat="1" applyFont="1" applyFill="1" applyAlignment="1" applyProtection="1">
      <alignment horizontal="center" vertical="center"/>
      <protection hidden="1"/>
    </xf>
    <xf numFmtId="2" fontId="20" fillId="0" borderId="0" xfId="0" applyNumberFormat="1" applyFont="1" applyFill="1" applyAlignment="1" applyProtection="1">
      <alignment horizontal="center" vertical="center"/>
      <protection hidden="1"/>
    </xf>
    <xf numFmtId="0" fontId="10" fillId="0" borderId="0" xfId="0" applyFont="1" applyFill="1" applyAlignment="1" applyProtection="1">
      <alignment vertical="center"/>
      <protection hidden="1"/>
    </xf>
    <xf numFmtId="9" fontId="20" fillId="0" borderId="0" xfId="1" applyFont="1" applyFill="1" applyAlignment="1" applyProtection="1">
      <alignment horizontal="center" vertical="center"/>
      <protection hidden="1"/>
    </xf>
    <xf numFmtId="9" fontId="20" fillId="0" borderId="0" xfId="0" applyNumberFormat="1" applyFont="1" applyFill="1" applyAlignment="1" applyProtection="1">
      <alignment horizontal="center" vertical="center"/>
      <protection hidden="1"/>
    </xf>
    <xf numFmtId="0" fontId="69" fillId="0" borderId="0" xfId="0" applyFont="1" applyFill="1" applyAlignment="1" applyProtection="1">
      <alignment horizontal="right"/>
      <protection hidden="1"/>
    </xf>
    <xf numFmtId="0" fontId="70" fillId="0" borderId="0" xfId="0" applyFont="1" applyFill="1" applyAlignment="1" applyProtection="1">
      <alignment horizontal="center" wrapText="1"/>
      <protection hidden="1"/>
    </xf>
    <xf numFmtId="0" fontId="20" fillId="0" borderId="28" xfId="0" applyFont="1" applyFill="1" applyBorder="1" applyAlignment="1" applyProtection="1">
      <alignment horizontal="center"/>
      <protection hidden="1"/>
    </xf>
    <xf numFmtId="0" fontId="20" fillId="0" borderId="28" xfId="0" applyFont="1" applyFill="1" applyBorder="1" applyAlignment="1" applyProtection="1">
      <alignment horizontal="center" wrapText="1"/>
      <protection hidden="1"/>
    </xf>
    <xf numFmtId="3" fontId="10" fillId="0" borderId="0" xfId="0" applyNumberFormat="1" applyFont="1" applyFill="1" applyProtection="1">
      <protection hidden="1"/>
    </xf>
    <xf numFmtId="3" fontId="10" fillId="0" borderId="0" xfId="0" applyNumberFormat="1" applyFont="1" applyFill="1" applyAlignment="1" applyProtection="1">
      <protection hidden="1"/>
    </xf>
    <xf numFmtId="0" fontId="10" fillId="0" borderId="28" xfId="0" applyFont="1" applyFill="1" applyBorder="1" applyProtection="1">
      <protection hidden="1"/>
    </xf>
    <xf numFmtId="3" fontId="10" fillId="0" borderId="28" xfId="0" applyNumberFormat="1" applyFont="1" applyFill="1" applyBorder="1" applyProtection="1">
      <protection hidden="1"/>
    </xf>
    <xf numFmtId="3" fontId="10" fillId="0" borderId="28" xfId="0" applyNumberFormat="1" applyFont="1" applyFill="1" applyBorder="1" applyAlignment="1" applyProtection="1">
      <protection hidden="1"/>
    </xf>
    <xf numFmtId="1" fontId="10" fillId="0" borderId="0" xfId="0" applyNumberFormat="1" applyFont="1" applyFill="1" applyProtection="1">
      <protection hidden="1"/>
    </xf>
    <xf numFmtId="167" fontId="20" fillId="0" borderId="0" xfId="1" applyNumberFormat="1" applyFont="1" applyFill="1" applyProtection="1">
      <protection hidden="1"/>
    </xf>
    <xf numFmtId="167" fontId="10" fillId="0" borderId="0" xfId="1" applyNumberFormat="1" applyFont="1" applyFill="1" applyProtection="1">
      <protection hidden="1"/>
    </xf>
    <xf numFmtId="3" fontId="20" fillId="0" borderId="0" xfId="0" applyNumberFormat="1" applyFont="1" applyFill="1" applyProtection="1">
      <protection hidden="1"/>
    </xf>
    <xf numFmtId="2" fontId="10" fillId="0" borderId="0" xfId="0" applyNumberFormat="1" applyFont="1" applyFill="1" applyAlignment="1" applyProtection="1">
      <alignment horizontal="center"/>
      <protection hidden="1"/>
    </xf>
    <xf numFmtId="10" fontId="20" fillId="0" borderId="0" xfId="1" applyNumberFormat="1" applyFont="1" applyFill="1" applyProtection="1">
      <protection hidden="1"/>
    </xf>
    <xf numFmtId="169" fontId="10" fillId="0" borderId="0" xfId="0" applyNumberFormat="1" applyFont="1" applyFill="1" applyAlignment="1" applyProtection="1">
      <alignment horizontal="center" vertical="center"/>
      <protection hidden="1"/>
    </xf>
    <xf numFmtId="0" fontId="20" fillId="0" borderId="0" xfId="0" applyFont="1" applyFill="1" applyBorder="1" applyProtection="1">
      <protection hidden="1"/>
    </xf>
    <xf numFmtId="1" fontId="20" fillId="0" borderId="0" xfId="0" applyNumberFormat="1" applyFont="1" applyFill="1" applyProtection="1">
      <protection hidden="1"/>
    </xf>
    <xf numFmtId="0" fontId="10" fillId="0" borderId="0" xfId="0" applyFont="1" applyFill="1" applyAlignment="1" applyProtection="1">
      <alignment horizontal="center"/>
      <protection hidden="1"/>
    </xf>
    <xf numFmtId="3" fontId="20" fillId="0" borderId="0" xfId="0" applyNumberFormat="1" applyFont="1" applyFill="1" applyAlignment="1" applyProtection="1">
      <alignment horizontal="center" vertical="center"/>
      <protection hidden="1"/>
    </xf>
    <xf numFmtId="0" fontId="0" fillId="6" borderId="0" xfId="0" applyFill="1" applyAlignment="1" applyProtection="1">
      <alignment horizontal="left"/>
      <protection locked="0"/>
    </xf>
    <xf numFmtId="0" fontId="22" fillId="2" borderId="0" xfId="0" applyFont="1" applyFill="1" applyAlignment="1">
      <alignment horizontal="left"/>
    </xf>
    <xf numFmtId="0" fontId="22" fillId="2" borderId="0" xfId="0" applyNumberFormat="1" applyFont="1" applyFill="1" applyBorder="1" applyAlignment="1">
      <alignment vertical="center"/>
    </xf>
    <xf numFmtId="0" fontId="14" fillId="2" borderId="13" xfId="0" applyFont="1" applyFill="1" applyBorder="1" applyAlignment="1" applyProtection="1">
      <alignment horizontal="left" vertical="top" wrapText="1"/>
      <protection hidden="1"/>
    </xf>
    <xf numFmtId="0" fontId="2" fillId="2" borderId="9" xfId="0" applyFont="1" applyFill="1" applyBorder="1" applyAlignment="1" applyProtection="1">
      <alignment horizontal="left" vertical="center" wrapText="1"/>
      <protection hidden="1"/>
    </xf>
    <xf numFmtId="0" fontId="4" fillId="2" borderId="0" xfId="0" applyFont="1" applyFill="1" applyBorder="1" applyAlignment="1" applyProtection="1">
      <alignment horizontal="left" vertical="center" wrapText="1"/>
      <protection hidden="1"/>
    </xf>
    <xf numFmtId="0" fontId="4" fillId="2" borderId="4" xfId="0" applyFont="1" applyFill="1" applyBorder="1" applyAlignment="1" applyProtection="1">
      <alignment horizontal="left" vertical="center" wrapText="1"/>
      <protection hidden="1"/>
    </xf>
    <xf numFmtId="0" fontId="55" fillId="3" borderId="39" xfId="0" applyFont="1" applyFill="1" applyBorder="1" applyAlignment="1" applyProtection="1">
      <alignment horizontal="center" vertical="center"/>
      <protection hidden="1"/>
    </xf>
    <xf numFmtId="0" fontId="55" fillId="3" borderId="40" xfId="0" applyFont="1" applyFill="1" applyBorder="1" applyAlignment="1" applyProtection="1">
      <alignment horizontal="center" vertical="center"/>
      <protection hidden="1"/>
    </xf>
    <xf numFmtId="0" fontId="4" fillId="2" borderId="8" xfId="0" applyFont="1" applyFill="1" applyBorder="1" applyAlignment="1" applyProtection="1">
      <alignment horizontal="left" vertical="center" wrapText="1"/>
      <protection hidden="1"/>
    </xf>
    <xf numFmtId="0" fontId="29" fillId="2" borderId="3" xfId="0" applyFont="1" applyFill="1" applyBorder="1" applyAlignment="1" applyProtection="1">
      <alignment horizontal="left" vertical="center" wrapText="1"/>
      <protection hidden="1"/>
    </xf>
    <xf numFmtId="0" fontId="29" fillId="2" borderId="0" xfId="0" applyFont="1" applyFill="1" applyBorder="1" applyAlignment="1" applyProtection="1">
      <alignment horizontal="left" vertical="center" wrapText="1"/>
      <protection hidden="1"/>
    </xf>
    <xf numFmtId="0" fontId="29" fillId="2" borderId="8" xfId="0" applyFont="1" applyFill="1" applyBorder="1" applyAlignment="1" applyProtection="1">
      <alignment horizontal="left" vertical="center" wrapText="1"/>
      <protection hidden="1"/>
    </xf>
    <xf numFmtId="0" fontId="4" fillId="2" borderId="3" xfId="0" applyFont="1" applyFill="1" applyBorder="1" applyAlignment="1" applyProtection="1">
      <alignment horizontal="left" vertical="center" wrapText="1"/>
      <protection hidden="1"/>
    </xf>
    <xf numFmtId="0" fontId="0" fillId="2" borderId="3" xfId="0" applyFill="1" applyBorder="1" applyAlignment="1" applyProtection="1">
      <alignment horizontal="center" vertical="center"/>
      <protection hidden="1"/>
    </xf>
    <xf numFmtId="0" fontId="0" fillId="2" borderId="0" xfId="0" applyFill="1" applyBorder="1" applyAlignment="1" applyProtection="1">
      <alignment horizontal="center" vertical="center"/>
      <protection hidden="1"/>
    </xf>
    <xf numFmtId="0" fontId="0" fillId="2" borderId="4" xfId="0" applyFill="1" applyBorder="1" applyAlignment="1" applyProtection="1">
      <alignment horizontal="center" vertical="center"/>
      <protection hidden="1"/>
    </xf>
    <xf numFmtId="0" fontId="0" fillId="2" borderId="3" xfId="0" applyFill="1" applyBorder="1" applyAlignment="1" applyProtection="1">
      <alignment horizontal="left" vertical="center"/>
      <protection hidden="1"/>
    </xf>
    <xf numFmtId="0" fontId="0" fillId="2" borderId="0" xfId="0" applyFill="1" applyBorder="1" applyAlignment="1" applyProtection="1">
      <alignment horizontal="left" vertical="center"/>
      <protection hidden="1"/>
    </xf>
    <xf numFmtId="0" fontId="0" fillId="2" borderId="4" xfId="0" applyFill="1" applyBorder="1" applyAlignment="1" applyProtection="1">
      <alignment horizontal="left" vertical="center"/>
      <protection hidden="1"/>
    </xf>
    <xf numFmtId="0" fontId="0" fillId="6" borderId="1" xfId="0" applyNumberFormat="1" applyFill="1" applyBorder="1" applyAlignment="1" applyProtection="1">
      <alignment horizontal="center" vertical="center"/>
      <protection locked="0"/>
    </xf>
    <xf numFmtId="0" fontId="0" fillId="6" borderId="6" xfId="0" applyNumberFormat="1" applyFill="1" applyBorder="1" applyAlignment="1" applyProtection="1">
      <alignment horizontal="center" vertical="center"/>
      <protection locked="0"/>
    </xf>
    <xf numFmtId="14" fontId="0" fillId="6" borderId="1" xfId="0" applyNumberFormat="1" applyFill="1" applyBorder="1" applyAlignment="1" applyProtection="1">
      <alignment horizontal="center" vertical="center"/>
      <protection locked="0"/>
    </xf>
    <xf numFmtId="14" fontId="0" fillId="6" borderId="6" xfId="0" applyNumberFormat="1" applyFill="1" applyBorder="1" applyAlignment="1" applyProtection="1">
      <alignment horizontal="center" vertical="center"/>
      <protection locked="0"/>
    </xf>
    <xf numFmtId="3" fontId="29" fillId="2" borderId="15" xfId="0" applyNumberFormat="1" applyFont="1" applyFill="1" applyBorder="1" applyAlignment="1" applyProtection="1">
      <alignment horizontal="left" vertical="center" wrapText="1"/>
      <protection hidden="1"/>
    </xf>
    <xf numFmtId="3" fontId="29" fillId="2" borderId="0" xfId="0" applyNumberFormat="1" applyFont="1" applyFill="1" applyBorder="1" applyAlignment="1" applyProtection="1">
      <alignment horizontal="left" vertical="center" wrapText="1"/>
      <protection hidden="1"/>
    </xf>
    <xf numFmtId="3" fontId="29" fillId="2" borderId="17" xfId="0" applyNumberFormat="1" applyFont="1" applyFill="1" applyBorder="1" applyAlignment="1" applyProtection="1">
      <alignment horizontal="left" vertical="center" wrapText="1"/>
      <protection hidden="1"/>
    </xf>
    <xf numFmtId="0" fontId="6" fillId="2" borderId="15" xfId="0" applyFont="1" applyFill="1" applyBorder="1" applyAlignment="1" applyProtection="1">
      <alignment horizontal="left" vertical="center" wrapText="1"/>
      <protection hidden="1"/>
    </xf>
    <xf numFmtId="0" fontId="6" fillId="2" borderId="0" xfId="0" applyFont="1" applyFill="1" applyBorder="1" applyAlignment="1" applyProtection="1">
      <alignment horizontal="left" vertical="center" wrapText="1"/>
      <protection hidden="1"/>
    </xf>
    <xf numFmtId="0" fontId="6" fillId="2" borderId="17" xfId="0" applyFont="1" applyFill="1" applyBorder="1" applyAlignment="1" applyProtection="1">
      <alignment horizontal="left" vertical="center" wrapText="1"/>
      <protection hidden="1"/>
    </xf>
    <xf numFmtId="0" fontId="0" fillId="2" borderId="15" xfId="0" applyFill="1" applyBorder="1" applyAlignment="1" applyProtection="1">
      <alignment horizontal="center" vertical="center"/>
      <protection hidden="1"/>
    </xf>
    <xf numFmtId="0" fontId="0" fillId="2" borderId="13" xfId="0" applyFill="1" applyBorder="1" applyAlignment="1" applyProtection="1">
      <alignment horizontal="center" vertical="center"/>
      <protection hidden="1"/>
    </xf>
    <xf numFmtId="3" fontId="26" fillId="2" borderId="15" xfId="0" applyNumberFormat="1" applyFont="1" applyFill="1" applyBorder="1" applyAlignment="1" applyProtection="1">
      <alignment horizontal="left" vertical="center"/>
      <protection hidden="1"/>
    </xf>
    <xf numFmtId="3" fontId="26" fillId="2" borderId="0" xfId="0" applyNumberFormat="1" applyFont="1" applyFill="1" applyBorder="1" applyAlignment="1" applyProtection="1">
      <alignment horizontal="left" vertical="center"/>
      <protection hidden="1"/>
    </xf>
    <xf numFmtId="3" fontId="26" fillId="2" borderId="13" xfId="0" applyNumberFormat="1" applyFont="1" applyFill="1" applyBorder="1" applyAlignment="1" applyProtection="1">
      <alignment horizontal="left" vertical="center"/>
      <protection hidden="1"/>
    </xf>
    <xf numFmtId="0" fontId="55" fillId="3" borderId="39" xfId="0" applyFont="1" applyFill="1" applyBorder="1" applyAlignment="1">
      <alignment horizontal="center" vertical="center"/>
    </xf>
    <xf numFmtId="0" fontId="55" fillId="3" borderId="40" xfId="0" applyFont="1" applyFill="1" applyBorder="1" applyAlignment="1">
      <alignment horizontal="center" vertical="center"/>
    </xf>
    <xf numFmtId="9" fontId="0" fillId="6" borderId="11" xfId="1" applyFont="1" applyFill="1" applyBorder="1" applyAlignment="1" applyProtection="1">
      <alignment horizontal="center" vertical="center"/>
      <protection locked="0"/>
    </xf>
    <xf numFmtId="0" fontId="0" fillId="6" borderId="1" xfId="0" applyFill="1" applyBorder="1" applyAlignment="1" applyProtection="1">
      <alignment horizontal="center" vertical="center" wrapText="1"/>
      <protection locked="0"/>
    </xf>
    <xf numFmtId="0" fontId="22" fillId="2" borderId="0" xfId="0" applyFont="1" applyFill="1" applyAlignment="1">
      <alignment horizontal="center"/>
    </xf>
    <xf numFmtId="3" fontId="20" fillId="0" borderId="0" xfId="0" applyNumberFormat="1" applyFont="1" applyFill="1" applyAlignment="1" applyProtection="1">
      <alignment horizontal="center" vertical="center"/>
      <protection hidden="1"/>
    </xf>
    <xf numFmtId="0" fontId="20" fillId="0" borderId="0" xfId="0" applyFont="1" applyFill="1" applyAlignment="1" applyProtection="1">
      <alignment horizontal="center" vertical="center"/>
      <protection hidden="1"/>
    </xf>
    <xf numFmtId="3" fontId="10" fillId="0" borderId="0" xfId="0" applyNumberFormat="1" applyFont="1" applyFill="1" applyAlignment="1" applyProtection="1">
      <alignment horizontal="center" vertical="center"/>
      <protection hidden="1"/>
    </xf>
    <xf numFmtId="0" fontId="20" fillId="0" borderId="0" xfId="0" applyFont="1" applyFill="1" applyAlignment="1" applyProtection="1">
      <alignment horizontal="center"/>
      <protection hidden="1"/>
    </xf>
  </cellXfs>
  <cellStyles count="3">
    <cellStyle name="Hiperligação" xfId="2" builtinId="8"/>
    <cellStyle name="Normal" xfId="0" builtinId="0"/>
    <cellStyle name="Percentagem" xfId="1" builtinId="5"/>
  </cellStyles>
  <dxfs count="0"/>
  <tableStyles count="0" defaultTableStyle="TableStyleMedium2" defaultPivotStyle="PivotStyleLight16"/>
  <colors>
    <mruColors>
      <color rgb="FF2F5497"/>
      <color rgb="FF009193"/>
      <color rgb="FFFF940C"/>
      <color rgb="FFFF7E79"/>
      <color rgb="FF8EFA23"/>
      <color rgb="FF941651"/>
      <color rgb="FF941100"/>
      <color rgb="FFFF940D"/>
      <color rgb="FF1F7044"/>
      <color rgb="FF008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0.png"/></Relationships>
</file>

<file path=xl/drawings/_rels/drawing3.xml.rels><?xml version="1.0" encoding="UTF-8" standalone="yes"?>
<Relationships xmlns="http://schemas.openxmlformats.org/package/2006/relationships"><Relationship Id="rId1" Type="http://schemas.openxmlformats.org/officeDocument/2006/relationships/image" Target="../media/image1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4.png"/></Relationships>
</file>

<file path=xl/drawings/_rels/drawing6.xml.rels><?xml version="1.0" encoding="UTF-8" standalone="yes"?>
<Relationships xmlns="http://schemas.openxmlformats.org/package/2006/relationships"><Relationship Id="rId3" Type="http://schemas.openxmlformats.org/officeDocument/2006/relationships/image" Target="../media/image17.png"/><Relationship Id="rId2" Type="http://schemas.openxmlformats.org/officeDocument/2006/relationships/image" Target="../media/image16.png"/><Relationship Id="rId1"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oneCellAnchor>
    <xdr:from>
      <xdr:col>0</xdr:col>
      <xdr:colOff>444500</xdr:colOff>
      <xdr:row>1</xdr:row>
      <xdr:rowOff>26722</xdr:rowOff>
    </xdr:from>
    <xdr:ext cx="9385300" cy="1332178"/>
    <xdr:sp macro="" textlink="">
      <xdr:nvSpPr>
        <xdr:cNvPr id="9" name="Text Placeholder 2">
          <a:extLst>
            <a:ext uri="{FF2B5EF4-FFF2-40B4-BE49-F238E27FC236}">
              <a16:creationId xmlns:a16="http://schemas.microsoft.com/office/drawing/2014/main" id="{5179E048-E868-433E-A97E-981E90E0013D}"/>
            </a:ext>
          </a:extLst>
        </xdr:cNvPr>
        <xdr:cNvSpPr txBox="1">
          <a:spLocks/>
        </xdr:cNvSpPr>
      </xdr:nvSpPr>
      <xdr:spPr>
        <a:xfrm>
          <a:off x="444500" y="229922"/>
          <a:ext cx="9385300" cy="1332178"/>
        </a:xfrm>
        <a:prstGeom prst="rect">
          <a:avLst/>
        </a:prstGeom>
      </xdr:spPr>
      <xdr:txBody>
        <a:bodyPr vertOverflow="overflow" horzOverflow="overflow" wrap="square" anchor="ctr">
          <a:noAutofit/>
        </a:bodyPr>
        <a:lstStyle>
          <a:defPPr>
            <a:defRPr lang="en-PT"/>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buNone/>
          </a:pPr>
          <a:r>
            <a:rPr lang="en-US" sz="3600" b="1" i="0" baseline="30000">
              <a:solidFill>
                <a:schemeClr val="accent1">
                  <a:lumMod val="75000"/>
                </a:schemeClr>
              </a:solidFill>
              <a:latin typeface="Arial Black" panose="020B0604020202020204" pitchFamily="34" charset="0"/>
              <a:cs typeface="Arial Black" panose="020B0604020202020204" pitchFamily="34" charset="0"/>
            </a:rPr>
            <a:t>GEET</a:t>
          </a:r>
          <a:r>
            <a:rPr lang="en-US" sz="3600" b="1" i="0" baseline="0">
              <a:solidFill>
                <a:schemeClr val="accent1">
                  <a:lumMod val="75000"/>
                </a:schemeClr>
              </a:solidFill>
              <a:latin typeface="Arial Black" panose="020B0604020202020204" pitchFamily="34" charset="0"/>
              <a:cs typeface="Arial Black" panose="020B0604020202020204" pitchFamily="34" charset="0"/>
            </a:rPr>
            <a:t> </a:t>
          </a:r>
          <a:r>
            <a:rPr lang="en-US" sz="3600" b="1" i="0" baseline="30000">
              <a:solidFill>
                <a:schemeClr val="accent1">
                  <a:lumMod val="75000"/>
                </a:schemeClr>
              </a:solidFill>
              <a:latin typeface="Arial Black" panose="020B0604020202020204" pitchFamily="34" charset="0"/>
              <a:cs typeface="Arial Black" panose="020B0604020202020204" pitchFamily="34" charset="0"/>
            </a:rPr>
            <a:t>| NEUTRALIDADE CARBÓNICA EM EMPREENDIMENTOS TURÍSTICOS</a:t>
          </a:r>
        </a:p>
      </xdr:txBody>
    </xdr:sp>
    <xdr:clientData/>
  </xdr:oneCellAnchor>
  <xdr:twoCellAnchor>
    <xdr:from>
      <xdr:col>0</xdr:col>
      <xdr:colOff>482600</xdr:colOff>
      <xdr:row>7</xdr:row>
      <xdr:rowOff>50800</xdr:rowOff>
    </xdr:from>
    <xdr:to>
      <xdr:col>12</xdr:col>
      <xdr:colOff>609600</xdr:colOff>
      <xdr:row>7</xdr:row>
      <xdr:rowOff>50800</xdr:rowOff>
    </xdr:to>
    <xdr:cxnSp macro="">
      <xdr:nvCxnSpPr>
        <xdr:cNvPr id="10" name="Straight Connector 9">
          <a:extLst>
            <a:ext uri="{FF2B5EF4-FFF2-40B4-BE49-F238E27FC236}">
              <a16:creationId xmlns:a16="http://schemas.microsoft.com/office/drawing/2014/main" id="{F7A74411-10B8-054B-8B7A-FC5049178DEA}"/>
            </a:ext>
          </a:extLst>
        </xdr:cNvPr>
        <xdr:cNvCxnSpPr/>
      </xdr:nvCxnSpPr>
      <xdr:spPr>
        <a:xfrm>
          <a:off x="482600" y="1511300"/>
          <a:ext cx="10033000" cy="0"/>
        </a:xfrm>
        <a:prstGeom prst="line">
          <a:avLst/>
        </a:prstGeom>
        <a:ln w="57150">
          <a:solidFill>
            <a:srgbClr val="FF940D"/>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406400</xdr:colOff>
      <xdr:row>7</xdr:row>
      <xdr:rowOff>152400</xdr:rowOff>
    </xdr:from>
    <xdr:to>
      <xdr:col>11</xdr:col>
      <xdr:colOff>596900</xdr:colOff>
      <xdr:row>11</xdr:row>
      <xdr:rowOff>50800</xdr:rowOff>
    </xdr:to>
    <xdr:sp macro="" textlink="">
      <xdr:nvSpPr>
        <xdr:cNvPr id="16" name="Text Placeholder 4">
          <a:extLst>
            <a:ext uri="{FF2B5EF4-FFF2-40B4-BE49-F238E27FC236}">
              <a16:creationId xmlns:a16="http://schemas.microsoft.com/office/drawing/2014/main" id="{C3FE16DD-54E2-42EE-BD06-60BB15B50057}"/>
            </a:ext>
          </a:extLst>
        </xdr:cNvPr>
        <xdr:cNvSpPr txBox="1">
          <a:spLocks/>
        </xdr:cNvSpPr>
      </xdr:nvSpPr>
      <xdr:spPr>
        <a:xfrm>
          <a:off x="406400" y="1612900"/>
          <a:ext cx="9271000" cy="711200"/>
        </a:xfrm>
        <a:prstGeom prst="rect">
          <a:avLst/>
        </a:prstGeom>
      </xdr:spPr>
      <xdr:txBody>
        <a:bodyPr wrap="square" lIns="144000" tIns="144000" rIns="144000" bIns="144000">
          <a:noAutofit/>
        </a:bodyPr>
        <a:lstStyle>
          <a:defPPr>
            <a:defRPr lang="en-PT"/>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nSpc>
              <a:spcPct val="100000"/>
            </a:lnSpc>
            <a:spcBef>
              <a:spcPts val="0"/>
            </a:spcBef>
            <a:buNone/>
          </a:pPr>
          <a:r>
            <a:rPr lang="pt-PT" sz="2800" b="1" i="0" baseline="30000">
              <a:solidFill>
                <a:schemeClr val="accent1">
                  <a:lumMod val="75000"/>
                </a:schemeClr>
              </a:solidFill>
              <a:latin typeface="Arial Black" panose="020B0604020202020204" pitchFamily="34" charset="0"/>
              <a:cs typeface="Arial Black" panose="020B0604020202020204" pitchFamily="34" charset="0"/>
            </a:rPr>
            <a:t>TURISMO SUSTENTÁVEL: UM MELHOR FUTURO PARA (COM) TODOS</a:t>
          </a:r>
        </a:p>
      </xdr:txBody>
    </xdr:sp>
    <xdr:clientData/>
  </xdr:twoCellAnchor>
  <xdr:twoCellAnchor>
    <xdr:from>
      <xdr:col>0</xdr:col>
      <xdr:colOff>482600</xdr:colOff>
      <xdr:row>34</xdr:row>
      <xdr:rowOff>138290</xdr:rowOff>
    </xdr:from>
    <xdr:to>
      <xdr:col>9</xdr:col>
      <xdr:colOff>88900</xdr:colOff>
      <xdr:row>38</xdr:row>
      <xdr:rowOff>196145</xdr:rowOff>
    </xdr:to>
    <xdr:grpSp>
      <xdr:nvGrpSpPr>
        <xdr:cNvPr id="2" name="Agrupar 1">
          <a:extLst>
            <a:ext uri="{FF2B5EF4-FFF2-40B4-BE49-F238E27FC236}">
              <a16:creationId xmlns:a16="http://schemas.microsoft.com/office/drawing/2014/main" id="{CCC9BACE-104E-C64E-B7C9-01276FD7BC36}"/>
            </a:ext>
          </a:extLst>
        </xdr:cNvPr>
        <xdr:cNvGrpSpPr/>
      </xdr:nvGrpSpPr>
      <xdr:grpSpPr>
        <a:xfrm>
          <a:off x="482600" y="7102123"/>
          <a:ext cx="7035800" cy="862189"/>
          <a:chOff x="508000" y="6769100"/>
          <a:chExt cx="7035800" cy="876300"/>
        </a:xfrm>
      </xdr:grpSpPr>
      <xdr:pic>
        <xdr:nvPicPr>
          <xdr:cNvPr id="22" name="Picture 21">
            <a:extLst>
              <a:ext uri="{FF2B5EF4-FFF2-40B4-BE49-F238E27FC236}">
                <a16:creationId xmlns:a16="http://schemas.microsoft.com/office/drawing/2014/main" id="{AF46A532-7CC9-D84B-8236-F2C758FAE5F6}"/>
              </a:ext>
            </a:extLst>
          </xdr:cNvPr>
          <xdr:cNvPicPr>
            <a:picLocks noChangeAspect="1"/>
          </xdr:cNvPicPr>
        </xdr:nvPicPr>
        <xdr:blipFill rotWithShape="1">
          <a:blip xmlns:r="http://schemas.openxmlformats.org/officeDocument/2006/relationships" r:embed="rId1" cstate="screen">
            <a:extLst>
              <a:ext uri="{28A0092B-C50C-407E-A947-70E740481C1C}">
                <a14:useLocalDpi xmlns:a14="http://schemas.microsoft.com/office/drawing/2010/main"/>
              </a:ext>
            </a:extLst>
          </a:blip>
          <a:srcRect l="5958" t="15339" r="5739" b="19965"/>
          <a:stretch/>
        </xdr:blipFill>
        <xdr:spPr>
          <a:xfrm>
            <a:off x="508000" y="7010400"/>
            <a:ext cx="2235200" cy="583004"/>
          </a:xfrm>
          <a:prstGeom prst="rect">
            <a:avLst/>
          </a:prstGeom>
        </xdr:spPr>
      </xdr:pic>
      <xdr:pic>
        <xdr:nvPicPr>
          <xdr:cNvPr id="23" name="Picture 22" descr="A picture containing graphical user interface&#10;&#10;Description automatically generated">
            <a:extLst>
              <a:ext uri="{FF2B5EF4-FFF2-40B4-BE49-F238E27FC236}">
                <a16:creationId xmlns:a16="http://schemas.microsoft.com/office/drawing/2014/main" id="{9396F03D-D805-6849-B839-AD28C7877F7B}"/>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2984499" y="7010400"/>
            <a:ext cx="1844481" cy="635000"/>
          </a:xfrm>
          <a:prstGeom prst="rect">
            <a:avLst/>
          </a:prstGeom>
        </xdr:spPr>
      </xdr:pic>
      <xdr:pic>
        <xdr:nvPicPr>
          <xdr:cNvPr id="25" name="Picture 24">
            <a:extLst>
              <a:ext uri="{FF2B5EF4-FFF2-40B4-BE49-F238E27FC236}">
                <a16:creationId xmlns:a16="http://schemas.microsoft.com/office/drawing/2014/main" id="{43E4AD8A-227D-40D4-86F5-44D7241C1E1E}"/>
              </a:ext>
            </a:extLst>
          </xdr:cNvPr>
          <xdr:cNvPicPr>
            <a:picLocks noChangeAspect="1"/>
          </xdr:cNvPicPr>
        </xdr:nvPicPr>
        <xdr:blipFill>
          <a:blip xmlns:r="http://schemas.openxmlformats.org/officeDocument/2006/relationships" r:embed="rId3" cstate="screen">
            <a:extLst>
              <a:ext uri="{28A0092B-C50C-407E-A947-70E740481C1C}">
                <a14:useLocalDpi xmlns:a14="http://schemas.microsoft.com/office/drawing/2010/main"/>
              </a:ext>
            </a:extLst>
          </a:blip>
          <a:stretch>
            <a:fillRect/>
          </a:stretch>
        </xdr:blipFill>
        <xdr:spPr>
          <a:xfrm>
            <a:off x="5057919" y="7227454"/>
            <a:ext cx="2485881" cy="249161"/>
          </a:xfrm>
          <a:prstGeom prst="rect">
            <a:avLst/>
          </a:prstGeom>
        </xdr:spPr>
      </xdr:pic>
      <xdr:sp macro="" textlink="">
        <xdr:nvSpPr>
          <xdr:cNvPr id="26" name="Text Placeholder 4">
            <a:extLst>
              <a:ext uri="{FF2B5EF4-FFF2-40B4-BE49-F238E27FC236}">
                <a16:creationId xmlns:a16="http://schemas.microsoft.com/office/drawing/2014/main" id="{7D4C5589-595C-4C75-A1F6-2DBDA525EAF2}"/>
              </a:ext>
            </a:extLst>
          </xdr:cNvPr>
          <xdr:cNvSpPr txBox="1">
            <a:spLocks/>
          </xdr:cNvSpPr>
        </xdr:nvSpPr>
        <xdr:spPr>
          <a:xfrm>
            <a:off x="4914900" y="6769100"/>
            <a:ext cx="2189334" cy="192530"/>
          </a:xfrm>
          <a:prstGeom prst="rect">
            <a:avLst/>
          </a:prstGeom>
        </xdr:spPr>
        <xdr:txBody>
          <a:bodyPr wrap="square" lIns="144000" tIns="144000" rIns="144000" bIns="14400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buNone/>
            </a:pPr>
            <a:r>
              <a:rPr lang="pt-PT" sz="1200" b="1" baseline="30000">
                <a:solidFill>
                  <a:schemeClr val="tx1">
                    <a:lumMod val="50000"/>
                    <a:lumOff val="50000"/>
                  </a:schemeClr>
                </a:solidFill>
              </a:rPr>
              <a:t>FINANCIADO</a:t>
            </a:r>
          </a:p>
        </xdr:txBody>
      </xdr:sp>
    </xdr:grpSp>
    <xdr:clientData/>
  </xdr:twoCellAnchor>
  <xdr:twoCellAnchor>
    <xdr:from>
      <xdr:col>13</xdr:col>
      <xdr:colOff>660401</xdr:colOff>
      <xdr:row>2</xdr:row>
      <xdr:rowOff>165100</xdr:rowOff>
    </xdr:from>
    <xdr:to>
      <xdr:col>14</xdr:col>
      <xdr:colOff>1993901</xdr:colOff>
      <xdr:row>5</xdr:row>
      <xdr:rowOff>152400</xdr:rowOff>
    </xdr:to>
    <xdr:sp macro="" textlink="">
      <xdr:nvSpPr>
        <xdr:cNvPr id="34" name="Text Placeholder 4">
          <a:extLst>
            <a:ext uri="{FF2B5EF4-FFF2-40B4-BE49-F238E27FC236}">
              <a16:creationId xmlns:a16="http://schemas.microsoft.com/office/drawing/2014/main" id="{E17E9641-D255-2849-892F-32C346C72A12}"/>
            </a:ext>
          </a:extLst>
        </xdr:cNvPr>
        <xdr:cNvSpPr txBox="1">
          <a:spLocks/>
        </xdr:cNvSpPr>
      </xdr:nvSpPr>
      <xdr:spPr>
        <a:xfrm>
          <a:off x="11391901" y="571500"/>
          <a:ext cx="2159000" cy="635000"/>
        </a:xfrm>
        <a:prstGeom prst="rect">
          <a:avLst/>
        </a:prstGeom>
      </xdr:spPr>
      <xdr:txBody>
        <a:bodyPr wrap="square" lIns="144000" tIns="144000" rIns="144000" bIns="144000">
          <a:noAutofit/>
        </a:bodyPr>
        <a:lstStyle>
          <a:defPPr>
            <a:defRPr lang="en-PT"/>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nSpc>
              <a:spcPct val="100000"/>
            </a:lnSpc>
            <a:spcBef>
              <a:spcPts val="0"/>
            </a:spcBef>
            <a:buNone/>
          </a:pPr>
          <a:r>
            <a:rPr lang="pt-PT" sz="3200" b="1" i="0" baseline="30000">
              <a:solidFill>
                <a:srgbClr val="2F5497"/>
              </a:solidFill>
              <a:latin typeface="Arial Black" panose="020B0604020202020204" pitchFamily="34" charset="0"/>
              <a:cs typeface="Arial Black" panose="020B0604020202020204" pitchFamily="34" charset="0"/>
            </a:rPr>
            <a:t>ÍNDICE</a:t>
          </a:r>
        </a:p>
      </xdr:txBody>
    </xdr:sp>
    <xdr:clientData/>
  </xdr:twoCellAnchor>
  <xdr:twoCellAnchor>
    <xdr:from>
      <xdr:col>13</xdr:col>
      <xdr:colOff>469900</xdr:colOff>
      <xdr:row>2</xdr:row>
      <xdr:rowOff>0</xdr:rowOff>
    </xdr:from>
    <xdr:to>
      <xdr:col>13</xdr:col>
      <xdr:colOff>495300</xdr:colOff>
      <xdr:row>38</xdr:row>
      <xdr:rowOff>177800</xdr:rowOff>
    </xdr:to>
    <xdr:cxnSp macro="">
      <xdr:nvCxnSpPr>
        <xdr:cNvPr id="40" name="Straight Connector 39">
          <a:extLst>
            <a:ext uri="{FF2B5EF4-FFF2-40B4-BE49-F238E27FC236}">
              <a16:creationId xmlns:a16="http://schemas.microsoft.com/office/drawing/2014/main" id="{37419B24-CDF7-884C-82F3-27FA3047744B}"/>
            </a:ext>
          </a:extLst>
        </xdr:cNvPr>
        <xdr:cNvCxnSpPr/>
      </xdr:nvCxnSpPr>
      <xdr:spPr>
        <a:xfrm>
          <a:off x="11201400" y="406400"/>
          <a:ext cx="25400" cy="7531100"/>
        </a:xfrm>
        <a:prstGeom prst="line">
          <a:avLst/>
        </a:prstGeom>
        <a:ln w="31750">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241300</xdr:colOff>
      <xdr:row>1</xdr:row>
      <xdr:rowOff>25400</xdr:rowOff>
    </xdr:from>
    <xdr:to>
      <xdr:col>12</xdr:col>
      <xdr:colOff>596900</xdr:colOff>
      <xdr:row>6</xdr:row>
      <xdr:rowOff>152400</xdr:rowOff>
    </xdr:to>
    <xdr:pic>
      <xdr:nvPicPr>
        <xdr:cNvPr id="27" name="Picture 23">
          <a:extLst>
            <a:ext uri="{FF2B5EF4-FFF2-40B4-BE49-F238E27FC236}">
              <a16:creationId xmlns:a16="http://schemas.microsoft.com/office/drawing/2014/main" id="{FE3BCB2B-4EB6-324D-A43D-D8594F58F0ED}"/>
            </a:ext>
          </a:extLst>
        </xdr:cNvPr>
        <xdr:cNvPicPr>
          <a:picLocks noChangeAspect="1"/>
        </xdr:cNvPicPr>
      </xdr:nvPicPr>
      <xdr:blipFill>
        <a:blip xmlns:r="http://schemas.openxmlformats.org/officeDocument/2006/relationships" r:embed="rId4"/>
        <a:stretch>
          <a:fillRect/>
        </a:stretch>
      </xdr:blipFill>
      <xdr:spPr>
        <a:xfrm>
          <a:off x="9321800" y="228600"/>
          <a:ext cx="1181100" cy="1181100"/>
        </a:xfrm>
        <a:prstGeom prst="rect">
          <a:avLst/>
        </a:prstGeom>
      </xdr:spPr>
    </xdr:pic>
    <xdr:clientData/>
  </xdr:twoCellAnchor>
  <xdr:oneCellAnchor>
    <xdr:from>
      <xdr:col>0</xdr:col>
      <xdr:colOff>482600</xdr:colOff>
      <xdr:row>11</xdr:row>
      <xdr:rowOff>91723</xdr:rowOff>
    </xdr:from>
    <xdr:ext cx="10160000" cy="4693464"/>
    <xdr:sp macro="" textlink="">
      <xdr:nvSpPr>
        <xdr:cNvPr id="24" name="TextBox 18">
          <a:extLst>
            <a:ext uri="{FF2B5EF4-FFF2-40B4-BE49-F238E27FC236}">
              <a16:creationId xmlns:a16="http://schemas.microsoft.com/office/drawing/2014/main" id="{0ED27C16-4234-C749-8414-80A2BFBEBEA2}"/>
            </a:ext>
          </a:extLst>
        </xdr:cNvPr>
        <xdr:cNvSpPr txBox="1"/>
      </xdr:nvSpPr>
      <xdr:spPr>
        <a:xfrm>
          <a:off x="482600" y="2307167"/>
          <a:ext cx="10160000" cy="46934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400" b="1">
              <a:solidFill>
                <a:schemeClr val="tx2"/>
              </a:solidFill>
            </a:rPr>
            <a:t>GEET</a:t>
          </a:r>
          <a:r>
            <a:rPr lang="en-GB" sz="1400" b="0" baseline="0">
              <a:solidFill>
                <a:schemeClr val="tx2"/>
              </a:solidFill>
            </a:rPr>
            <a:t> - </a:t>
          </a:r>
          <a:r>
            <a:rPr lang="en-GB" sz="1400" b="0" i="1" baseline="0">
              <a:solidFill>
                <a:schemeClr val="tx2"/>
              </a:solidFill>
            </a:rPr>
            <a:t>Emissões de </a:t>
          </a:r>
          <a:r>
            <a:rPr lang="en-GB" sz="1400" b="1" i="1" baseline="0">
              <a:solidFill>
                <a:schemeClr val="tx2"/>
              </a:solidFill>
            </a:rPr>
            <a:t>G</a:t>
          </a:r>
          <a:r>
            <a:rPr lang="en-GB" sz="1400" b="0" i="1" baseline="0">
              <a:solidFill>
                <a:schemeClr val="tx2"/>
              </a:solidFill>
            </a:rPr>
            <a:t>ases com </a:t>
          </a:r>
          <a:r>
            <a:rPr lang="en-GB" sz="1400" b="1" i="1" baseline="0">
              <a:solidFill>
                <a:schemeClr val="tx2"/>
              </a:solidFill>
            </a:rPr>
            <a:t>E</a:t>
          </a:r>
          <a:r>
            <a:rPr lang="en-GB" sz="1400" b="0" i="1" baseline="0">
              <a:solidFill>
                <a:schemeClr val="tx2"/>
              </a:solidFill>
            </a:rPr>
            <a:t>feito de </a:t>
          </a:r>
          <a:r>
            <a:rPr lang="en-GB" sz="1400" b="1" i="1" baseline="0">
              <a:solidFill>
                <a:schemeClr val="tx2"/>
              </a:solidFill>
            </a:rPr>
            <a:t>E</a:t>
          </a:r>
          <a:r>
            <a:rPr lang="en-GB" sz="1400" b="0" i="1" baseline="0">
              <a:solidFill>
                <a:schemeClr val="tx2"/>
              </a:solidFill>
            </a:rPr>
            <a:t>stufa de um </a:t>
          </a:r>
          <a:r>
            <a:rPr lang="en-GB" sz="1400" b="1" i="1" baseline="0">
              <a:solidFill>
                <a:schemeClr val="tx2"/>
              </a:solidFill>
            </a:rPr>
            <a:t>E</a:t>
          </a:r>
          <a:r>
            <a:rPr lang="en-GB" sz="1400" b="0" i="1" baseline="0">
              <a:solidFill>
                <a:schemeClr val="tx2"/>
              </a:solidFill>
            </a:rPr>
            <a:t>mpreendimento </a:t>
          </a:r>
          <a:r>
            <a:rPr lang="en-GB" sz="1400" b="1" i="1" baseline="0">
              <a:solidFill>
                <a:schemeClr val="tx2"/>
              </a:solidFill>
            </a:rPr>
            <a:t>T</a:t>
          </a:r>
          <a:r>
            <a:rPr lang="en-GB" sz="1400" b="0" i="1" baseline="0">
              <a:solidFill>
                <a:schemeClr val="tx2"/>
              </a:solidFill>
            </a:rPr>
            <a:t>urístico</a:t>
          </a:r>
          <a:r>
            <a:rPr lang="en-GB" sz="1400" b="0" i="1">
              <a:solidFill>
                <a:schemeClr val="tx2"/>
              </a:solidFill>
            </a:rPr>
            <a:t> </a:t>
          </a:r>
          <a:r>
            <a:rPr lang="en-GB" sz="1400" b="0">
              <a:solidFill>
                <a:schemeClr val="tx2"/>
              </a:solidFill>
            </a:rPr>
            <a:t>é parte integrante do Guia "Neutralidade Carbónica em Empreendimentos</a:t>
          </a:r>
          <a:r>
            <a:rPr lang="en-GB" sz="1400" b="0" baseline="0">
              <a:solidFill>
                <a:schemeClr val="tx2"/>
              </a:solidFill>
            </a:rPr>
            <a:t> Turísticos", desenvolvido pela Universidade Nova de Lisboa para o Turismo de Portugal no contexto do projeto "Turismo sustentável: um melhor futuro para [com] todos", com o apoio do Fundo Ambiental.</a:t>
          </a:r>
        </a:p>
        <a:p>
          <a:endParaRPr lang="en-GB" sz="1400" b="0" baseline="0">
            <a:solidFill>
              <a:schemeClr val="tx2"/>
            </a:solidFill>
          </a:endParaRPr>
        </a:p>
        <a:p>
          <a:r>
            <a:rPr lang="en-GB" sz="1400" b="0" baseline="0">
              <a:solidFill>
                <a:schemeClr val="tx2"/>
              </a:solidFill>
            </a:rPr>
            <a:t>GEET é uma folha de cálculo originalmente orientada para estabelecimentos hoteleiros, que pode ser utilizada por qualquer outra categoria de Empreendimentos Turísticos, com as devidas adaptações. </a:t>
          </a:r>
        </a:p>
        <a:p>
          <a:endParaRPr lang="en-GB" sz="1400" b="0" baseline="0">
            <a:solidFill>
              <a:schemeClr val="tx2"/>
            </a:solidFill>
          </a:endParaRPr>
        </a:p>
        <a:p>
          <a:r>
            <a:rPr lang="en-GB" sz="1400" b="0" baseline="0">
              <a:solidFill>
                <a:schemeClr val="tx2"/>
              </a:solidFill>
            </a:rPr>
            <a:t>GEET sistematiza e organiza a informação de base necessária à quantificação das emissões anuais de gases com efeito de estufa (GEE) de um empreendimento turístico (ou estabelecimento) específico, e realiza automaticamente o seu inventário de emissões de Âmbito 1 e Âmbito 2. Permite também: </a:t>
          </a:r>
        </a:p>
        <a:p>
          <a:r>
            <a:rPr lang="en-GB" sz="1400" b="0" baseline="0">
              <a:solidFill>
                <a:schemeClr val="tx2"/>
              </a:solidFill>
            </a:rPr>
            <a:t>i) efetuar o cálculo das emissões de GEE associadas à utilização desse estabelecimento por um cliente particular ou corporativo (também designadas, de forma simplificada, por "pegada carbónica" do cliente); e </a:t>
          </a:r>
        </a:p>
        <a:p>
          <a:r>
            <a:rPr lang="en-GB" sz="1400" b="0" baseline="0">
              <a:solidFill>
                <a:schemeClr val="tx2"/>
              </a:solidFill>
            </a:rPr>
            <a:t>ii) realizar um exercício simplificado de projeção das emissões de GEE do estabelecimento, para o horizonte 2030, num cenário "business-as-usual" (sem medidas de redução) e num cenário com medidas de redução, capaz de ilustrar a dimensão do potencial impacto da adoção de diferentes tipologias de medidas, em termos de volume de emissões e respetivo valor (sombra).</a:t>
          </a:r>
        </a:p>
        <a:p>
          <a:endParaRPr lang="en-GB" sz="1400" b="0" baseline="0">
            <a:solidFill>
              <a:schemeClr val="tx2"/>
            </a:solidFill>
          </a:endParaRPr>
        </a:p>
        <a:p>
          <a:r>
            <a:rPr lang="en-GB" sz="1400" b="0" baseline="0">
              <a:solidFill>
                <a:schemeClr val="tx2"/>
              </a:solidFill>
            </a:rPr>
            <a:t>O inventário de emissões está em linha com a metodologia e algoritmo de cálculo da ferramenta desenvolvida pela Hotel Carbon Measurement Initiative (HCMI). A organização dos dados de base encontra-se no formato exigido pela ferramenta HCMI, pelo que o utilizador poderá optar por realizar o cálculo das emissões nessa ferramenta, inserindo a informação da folha "Dados_Inventário".</a:t>
          </a:r>
        </a:p>
        <a:p>
          <a:endParaRPr lang="en-GB" sz="1400" b="0" baseline="0">
            <a:solidFill>
              <a:schemeClr val="tx2"/>
            </a:solidFill>
          </a:endParaRPr>
        </a:p>
        <a:p>
          <a:r>
            <a:rPr lang="en-GB" sz="1400" b="0" baseline="0">
              <a:solidFill>
                <a:schemeClr val="tx2"/>
              </a:solidFill>
            </a:rPr>
            <a:t>Recomenda-se, previamente à utilização desta folha de cálculo, a leitura  </a:t>
          </a:r>
          <a:r>
            <a:rPr lang="en-GB" sz="1400" b="0">
              <a:solidFill>
                <a:schemeClr val="tx2"/>
              </a:solidFill>
            </a:rPr>
            <a:t>do Guia que a enquadra.</a:t>
          </a:r>
        </a:p>
      </xdr:txBody>
    </xdr:sp>
    <xdr:clientData/>
  </xdr:oneCellAnchor>
  <xdr:twoCellAnchor>
    <xdr:from>
      <xdr:col>14</xdr:col>
      <xdr:colOff>1384300</xdr:colOff>
      <xdr:row>7</xdr:row>
      <xdr:rowOff>177800</xdr:rowOff>
    </xdr:from>
    <xdr:to>
      <xdr:col>18</xdr:col>
      <xdr:colOff>279400</xdr:colOff>
      <xdr:row>12</xdr:row>
      <xdr:rowOff>25400</xdr:rowOff>
    </xdr:to>
    <xdr:sp macro="" textlink="">
      <xdr:nvSpPr>
        <xdr:cNvPr id="29" name="Text Placeholder 4">
          <a:extLst>
            <a:ext uri="{FF2B5EF4-FFF2-40B4-BE49-F238E27FC236}">
              <a16:creationId xmlns:a16="http://schemas.microsoft.com/office/drawing/2014/main" id="{3F73C606-112E-354A-A905-B6BA99D08BEC}"/>
            </a:ext>
          </a:extLst>
        </xdr:cNvPr>
        <xdr:cNvSpPr txBox="1">
          <a:spLocks/>
        </xdr:cNvSpPr>
      </xdr:nvSpPr>
      <xdr:spPr>
        <a:xfrm>
          <a:off x="12941300" y="1638300"/>
          <a:ext cx="6858000" cy="863600"/>
        </a:xfrm>
        <a:prstGeom prst="rect">
          <a:avLst/>
        </a:prstGeom>
      </xdr:spPr>
      <xdr:txBody>
        <a:bodyPr wrap="square" lIns="144000" tIns="144000" rIns="144000" bIns="144000">
          <a:noAutofit/>
        </a:bodyPr>
        <a:lstStyle>
          <a:defPPr>
            <a:defRPr lang="en-PT"/>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nSpc>
              <a:spcPct val="100000"/>
            </a:lnSpc>
            <a:spcBef>
              <a:spcPts val="0"/>
            </a:spcBef>
            <a:buNone/>
          </a:pPr>
          <a:r>
            <a:rPr lang="pt-PT" sz="1800" b="1" i="0" baseline="0">
              <a:solidFill>
                <a:schemeClr val="tx2"/>
              </a:solidFill>
              <a:latin typeface="Arial Black" panose="020B0604020202020204" pitchFamily="34" charset="0"/>
              <a:cs typeface="Arial Black" panose="020B0604020202020204" pitchFamily="34" charset="0"/>
            </a:rPr>
            <a:t>GEET </a:t>
          </a:r>
          <a:r>
            <a:rPr lang="pt-PT" sz="2400" b="0" i="0" baseline="0">
              <a:solidFill>
                <a:schemeClr val="tx2"/>
              </a:solidFill>
              <a:latin typeface="Arial Black" panose="020B0604020202020204" pitchFamily="34" charset="0"/>
              <a:cs typeface="Arial Black" panose="020B0604020202020204" pitchFamily="34" charset="0"/>
            </a:rPr>
            <a:t>|</a:t>
          </a:r>
          <a:r>
            <a:rPr lang="pt-PT" sz="2400" b="1" i="0" baseline="0">
              <a:solidFill>
                <a:schemeClr val="tx2"/>
              </a:solidFill>
              <a:latin typeface="Arial Black" panose="020B0604020202020204" pitchFamily="34" charset="0"/>
              <a:cs typeface="Arial Black" panose="020B0604020202020204" pitchFamily="34" charset="0"/>
            </a:rPr>
            <a:t> </a:t>
          </a:r>
          <a:r>
            <a:rPr lang="pt-PT" sz="1400" b="0" i="0" kern="1200" baseline="0">
              <a:solidFill>
                <a:schemeClr val="tx2"/>
              </a:solidFill>
              <a:latin typeface="+mn-lt"/>
              <a:ea typeface="+mn-ea"/>
              <a:cs typeface="Arial" panose="020B0604020202020204" pitchFamily="34" charset="0"/>
            </a:rPr>
            <a:t>apresentação, organização </a:t>
          </a:r>
          <a:r>
            <a:rPr lang="pt-PT" sz="1400" b="0" i="0" baseline="0">
              <a:solidFill>
                <a:schemeClr val="tx2"/>
              </a:solidFill>
              <a:latin typeface="+mn-lt"/>
              <a:cs typeface="Arial" panose="020B0604020202020204" pitchFamily="34" charset="0"/>
            </a:rPr>
            <a:t>e sistematização do conteúdo da presente folha de cálculo</a:t>
          </a:r>
        </a:p>
      </xdr:txBody>
    </xdr:sp>
    <xdr:clientData/>
  </xdr:twoCellAnchor>
  <xdr:twoCellAnchor>
    <xdr:from>
      <xdr:col>14</xdr:col>
      <xdr:colOff>1409700</xdr:colOff>
      <xdr:row>16</xdr:row>
      <xdr:rowOff>76200</xdr:rowOff>
    </xdr:from>
    <xdr:to>
      <xdr:col>18</xdr:col>
      <xdr:colOff>304800</xdr:colOff>
      <xdr:row>21</xdr:row>
      <xdr:rowOff>0</xdr:rowOff>
    </xdr:to>
    <xdr:sp macro="" textlink="">
      <xdr:nvSpPr>
        <xdr:cNvPr id="30" name="Text Placeholder 4">
          <a:extLst>
            <a:ext uri="{FF2B5EF4-FFF2-40B4-BE49-F238E27FC236}">
              <a16:creationId xmlns:a16="http://schemas.microsoft.com/office/drawing/2014/main" id="{BC14A8D8-0B2B-054B-B561-1E46353E0691}"/>
            </a:ext>
          </a:extLst>
        </xdr:cNvPr>
        <xdr:cNvSpPr txBox="1">
          <a:spLocks/>
        </xdr:cNvSpPr>
      </xdr:nvSpPr>
      <xdr:spPr>
        <a:xfrm>
          <a:off x="12966700" y="3365500"/>
          <a:ext cx="6858000" cy="939800"/>
        </a:xfrm>
        <a:prstGeom prst="rect">
          <a:avLst/>
        </a:prstGeom>
      </xdr:spPr>
      <xdr:txBody>
        <a:bodyPr wrap="square" lIns="144000" tIns="144000" rIns="144000" bIns="144000">
          <a:noAutofit/>
        </a:bodyPr>
        <a:lstStyle>
          <a:defPPr>
            <a:defRPr lang="en-PT"/>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nSpc>
              <a:spcPct val="100000"/>
            </a:lnSpc>
            <a:spcBef>
              <a:spcPts val="0"/>
            </a:spcBef>
            <a:buNone/>
          </a:pPr>
          <a:r>
            <a:rPr lang="pt-PT" sz="1800" b="0" i="0" baseline="0">
              <a:solidFill>
                <a:schemeClr val="tx2"/>
              </a:solidFill>
              <a:latin typeface="Arial Black" panose="020B0604020202020204" pitchFamily="34" charset="0"/>
              <a:cs typeface="Arial Black" panose="020B0604020202020204" pitchFamily="34" charset="0"/>
            </a:rPr>
            <a:t>RESULTADOS_INVENTÁRIO </a:t>
          </a:r>
          <a:r>
            <a:rPr lang="pt-PT" sz="2400" b="0" i="0" baseline="0">
              <a:solidFill>
                <a:schemeClr val="tx2"/>
              </a:solidFill>
              <a:latin typeface="Arial" panose="020B0604020202020204" pitchFamily="34" charset="0"/>
              <a:cs typeface="Arial" panose="020B0604020202020204" pitchFamily="34" charset="0"/>
            </a:rPr>
            <a:t>| </a:t>
          </a:r>
          <a:r>
            <a:rPr lang="pt-PT" sz="1400" b="0" i="0" baseline="0">
              <a:solidFill>
                <a:schemeClr val="tx2"/>
              </a:solidFill>
              <a:latin typeface="+mn-lt"/>
              <a:cs typeface="Arial" panose="020B0604020202020204" pitchFamily="34" charset="0"/>
            </a:rPr>
            <a:t>apresentação dos resultados do inventário das emissões de GEE (Âmbito 1 &amp; 2) do estabelecimento, no ano de reporte </a:t>
          </a:r>
        </a:p>
      </xdr:txBody>
    </xdr:sp>
    <xdr:clientData/>
  </xdr:twoCellAnchor>
  <xdr:twoCellAnchor>
    <xdr:from>
      <xdr:col>14</xdr:col>
      <xdr:colOff>1384300</xdr:colOff>
      <xdr:row>21</xdr:row>
      <xdr:rowOff>12700</xdr:rowOff>
    </xdr:from>
    <xdr:to>
      <xdr:col>18</xdr:col>
      <xdr:colOff>279400</xdr:colOff>
      <xdr:row>25</xdr:row>
      <xdr:rowOff>177800</xdr:rowOff>
    </xdr:to>
    <xdr:sp macro="" textlink="">
      <xdr:nvSpPr>
        <xdr:cNvPr id="36" name="Text Placeholder 4">
          <a:extLst>
            <a:ext uri="{FF2B5EF4-FFF2-40B4-BE49-F238E27FC236}">
              <a16:creationId xmlns:a16="http://schemas.microsoft.com/office/drawing/2014/main" id="{68B6BFEA-C42A-244D-9A3E-35A86112E16C}"/>
            </a:ext>
          </a:extLst>
        </xdr:cNvPr>
        <xdr:cNvSpPr txBox="1">
          <a:spLocks/>
        </xdr:cNvSpPr>
      </xdr:nvSpPr>
      <xdr:spPr>
        <a:xfrm>
          <a:off x="12941300" y="4318000"/>
          <a:ext cx="6858000" cy="977900"/>
        </a:xfrm>
        <a:prstGeom prst="rect">
          <a:avLst/>
        </a:prstGeom>
      </xdr:spPr>
      <xdr:txBody>
        <a:bodyPr wrap="square" lIns="144000" tIns="144000" rIns="144000" bIns="144000">
          <a:noAutofit/>
        </a:bodyPr>
        <a:lstStyle>
          <a:defPPr>
            <a:defRPr lang="en-PT"/>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nSpc>
              <a:spcPct val="100000"/>
            </a:lnSpc>
            <a:spcBef>
              <a:spcPts val="0"/>
            </a:spcBef>
            <a:buNone/>
          </a:pPr>
          <a:r>
            <a:rPr lang="pt-PT" sz="1800" b="0" i="0" baseline="0">
              <a:solidFill>
                <a:schemeClr val="tx2"/>
              </a:solidFill>
              <a:latin typeface="Arial Black" panose="020B0604020202020204" pitchFamily="34" charset="0"/>
              <a:cs typeface="Arial Black" panose="020B0604020202020204" pitchFamily="34" charset="0"/>
            </a:rPr>
            <a:t>DADOS_INVENTÁRIO </a:t>
          </a:r>
          <a:r>
            <a:rPr lang="pt-PT" sz="2400" b="0" i="0" baseline="0">
              <a:solidFill>
                <a:schemeClr val="tx2"/>
              </a:solidFill>
              <a:latin typeface="Arial" panose="020B0604020202020204" pitchFamily="34" charset="0"/>
              <a:cs typeface="Arial" panose="020B0604020202020204" pitchFamily="34" charset="0"/>
            </a:rPr>
            <a:t>| </a:t>
          </a:r>
          <a:r>
            <a:rPr lang="pt-PT" sz="1400" b="0" i="0" kern="1200" baseline="0">
              <a:solidFill>
                <a:schemeClr val="tx2"/>
              </a:solidFill>
              <a:latin typeface="+mn-lt"/>
              <a:ea typeface="+mn-ea"/>
              <a:cs typeface="Arial" panose="020B0604020202020204" pitchFamily="34" charset="0"/>
            </a:rPr>
            <a:t>sistematização e </a:t>
          </a:r>
          <a:r>
            <a:rPr lang="pt-PT" sz="1400" b="0" i="0" baseline="0">
              <a:solidFill>
                <a:schemeClr val="tx2"/>
              </a:solidFill>
              <a:latin typeface="+mn-lt"/>
              <a:cs typeface="Arial" panose="020B0604020202020204" pitchFamily="34" charset="0"/>
            </a:rPr>
            <a:t>organização dos dados de base que alicerçam o inventário de emissões de GEE (Âmbito 1 &amp; 2) do estabelecimento, no ano  de reporte </a:t>
          </a:r>
        </a:p>
      </xdr:txBody>
    </xdr:sp>
    <xdr:clientData/>
  </xdr:twoCellAnchor>
  <xdr:twoCellAnchor>
    <xdr:from>
      <xdr:col>14</xdr:col>
      <xdr:colOff>1371600</xdr:colOff>
      <xdr:row>12</xdr:row>
      <xdr:rowOff>12700</xdr:rowOff>
    </xdr:from>
    <xdr:to>
      <xdr:col>18</xdr:col>
      <xdr:colOff>266700</xdr:colOff>
      <xdr:row>17</xdr:row>
      <xdr:rowOff>152400</xdr:rowOff>
    </xdr:to>
    <xdr:sp macro="" textlink="">
      <xdr:nvSpPr>
        <xdr:cNvPr id="38" name="Text Placeholder 4">
          <a:extLst>
            <a:ext uri="{FF2B5EF4-FFF2-40B4-BE49-F238E27FC236}">
              <a16:creationId xmlns:a16="http://schemas.microsoft.com/office/drawing/2014/main" id="{9528989E-DD75-EC4A-8CC4-287FDEB6C8EC}"/>
            </a:ext>
          </a:extLst>
        </xdr:cNvPr>
        <xdr:cNvSpPr txBox="1">
          <a:spLocks/>
        </xdr:cNvSpPr>
      </xdr:nvSpPr>
      <xdr:spPr>
        <a:xfrm>
          <a:off x="12928600" y="2489200"/>
          <a:ext cx="6858000" cy="1155700"/>
        </a:xfrm>
        <a:prstGeom prst="rect">
          <a:avLst/>
        </a:prstGeom>
      </xdr:spPr>
      <xdr:txBody>
        <a:bodyPr wrap="square" lIns="144000" tIns="144000" rIns="144000" bIns="144000">
          <a:noAutofit/>
        </a:bodyPr>
        <a:lstStyle>
          <a:defPPr>
            <a:defRPr lang="en-PT"/>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nSpc>
              <a:spcPct val="100000"/>
            </a:lnSpc>
            <a:spcBef>
              <a:spcPts val="0"/>
            </a:spcBef>
            <a:buNone/>
          </a:pPr>
          <a:r>
            <a:rPr lang="pt-PT" sz="1800" b="0" i="0" baseline="0">
              <a:solidFill>
                <a:schemeClr val="tx2"/>
              </a:solidFill>
              <a:latin typeface="Arial Black" panose="020B0604020202020204" pitchFamily="34" charset="0"/>
              <a:cs typeface="Arial Black" panose="020B0604020202020204" pitchFamily="34" charset="0"/>
            </a:rPr>
            <a:t>PEGADA DE CLIENTES </a:t>
          </a:r>
          <a:r>
            <a:rPr lang="pt-PT" sz="2400" b="0" i="0" baseline="0">
              <a:solidFill>
                <a:schemeClr val="tx2"/>
              </a:solidFill>
              <a:latin typeface="Arial" panose="020B0604020202020204" pitchFamily="34" charset="0"/>
              <a:cs typeface="Arial" panose="020B0604020202020204" pitchFamily="34" charset="0"/>
            </a:rPr>
            <a:t>| </a:t>
          </a:r>
          <a:r>
            <a:rPr lang="pt-PT" sz="1400" b="0" i="0" baseline="0">
              <a:solidFill>
                <a:schemeClr val="tx2"/>
              </a:solidFill>
              <a:latin typeface="+mn-lt"/>
              <a:cs typeface="Arial" panose="020B0604020202020204" pitchFamily="34" charset="0"/>
            </a:rPr>
            <a:t>calculadora da pegada carbónica de clientes do (no) estabelecimento</a:t>
          </a:r>
        </a:p>
      </xdr:txBody>
    </xdr:sp>
    <xdr:clientData/>
  </xdr:twoCellAnchor>
  <xdr:twoCellAnchor>
    <xdr:from>
      <xdr:col>14</xdr:col>
      <xdr:colOff>1384300</xdr:colOff>
      <xdr:row>26</xdr:row>
      <xdr:rowOff>63500</xdr:rowOff>
    </xdr:from>
    <xdr:to>
      <xdr:col>18</xdr:col>
      <xdr:colOff>279400</xdr:colOff>
      <xdr:row>32</xdr:row>
      <xdr:rowOff>0</xdr:rowOff>
    </xdr:to>
    <xdr:sp macro="" textlink="">
      <xdr:nvSpPr>
        <xdr:cNvPr id="39" name="Text Placeholder 4">
          <a:extLst>
            <a:ext uri="{FF2B5EF4-FFF2-40B4-BE49-F238E27FC236}">
              <a16:creationId xmlns:a16="http://schemas.microsoft.com/office/drawing/2014/main" id="{BD4CDC92-4D65-1048-9A06-B80BD286DD77}"/>
            </a:ext>
          </a:extLst>
        </xdr:cNvPr>
        <xdr:cNvSpPr txBox="1">
          <a:spLocks/>
        </xdr:cNvSpPr>
      </xdr:nvSpPr>
      <xdr:spPr>
        <a:xfrm>
          <a:off x="12941300" y="5384800"/>
          <a:ext cx="6858000" cy="1155700"/>
        </a:xfrm>
        <a:prstGeom prst="rect">
          <a:avLst/>
        </a:prstGeom>
      </xdr:spPr>
      <xdr:txBody>
        <a:bodyPr wrap="square" lIns="144000" tIns="144000" rIns="144000" bIns="144000">
          <a:noAutofit/>
        </a:bodyPr>
        <a:lstStyle>
          <a:defPPr>
            <a:defRPr lang="en-PT"/>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nSpc>
              <a:spcPct val="100000"/>
            </a:lnSpc>
            <a:spcBef>
              <a:spcPts val="0"/>
            </a:spcBef>
            <a:buNone/>
          </a:pPr>
          <a:r>
            <a:rPr lang="pt-PT" sz="1800" b="0" i="0" baseline="0">
              <a:solidFill>
                <a:schemeClr val="tx2"/>
              </a:solidFill>
              <a:latin typeface="Arial Black" panose="020B0604020202020204" pitchFamily="34" charset="0"/>
              <a:cs typeface="Arial Black" panose="020B0604020202020204" pitchFamily="34" charset="0"/>
            </a:rPr>
            <a:t>PROJEÇÕES </a:t>
          </a:r>
          <a:r>
            <a:rPr lang="pt-PT" sz="2400" b="0" i="0" baseline="0">
              <a:solidFill>
                <a:schemeClr val="tx2"/>
              </a:solidFill>
              <a:latin typeface="Arial" panose="020B0604020202020204" pitchFamily="34" charset="0"/>
              <a:cs typeface="Arial" panose="020B0604020202020204" pitchFamily="34" charset="0"/>
            </a:rPr>
            <a:t>| </a:t>
          </a:r>
          <a:r>
            <a:rPr lang="pt-PT" sz="1400" b="0" i="0" baseline="0">
              <a:solidFill>
                <a:schemeClr val="tx2"/>
              </a:solidFill>
              <a:latin typeface="+mn-lt"/>
              <a:cs typeface="Arial" panose="020B0604020202020204" pitchFamily="34" charset="0"/>
            </a:rPr>
            <a:t>sistematização e organização dos dados de base que alicerçam um exercício de  projeção de emissões de GEE (Âmbito 1 &amp; 2) do estabelecimento, nos cenários "business-as-usual" e com medidas de redução, no horizonte de planeamento, e apresentação dos resultados respetivos</a:t>
          </a:r>
        </a:p>
      </xdr:txBody>
    </xdr:sp>
    <xdr:clientData/>
  </xdr:twoCellAnchor>
  <xdr:twoCellAnchor editAs="oneCell">
    <xdr:from>
      <xdr:col>14</xdr:col>
      <xdr:colOff>355600</xdr:colOff>
      <xdr:row>27</xdr:row>
      <xdr:rowOff>127001</xdr:rowOff>
    </xdr:from>
    <xdr:to>
      <xdr:col>14</xdr:col>
      <xdr:colOff>931600</xdr:colOff>
      <xdr:row>29</xdr:row>
      <xdr:rowOff>25542</xdr:rowOff>
    </xdr:to>
    <xdr:pic>
      <xdr:nvPicPr>
        <xdr:cNvPr id="41" name="Imagem 40">
          <a:extLst>
            <a:ext uri="{FF2B5EF4-FFF2-40B4-BE49-F238E27FC236}">
              <a16:creationId xmlns:a16="http://schemas.microsoft.com/office/drawing/2014/main" id="{CFA2324B-735D-DD4D-BF08-EA1E24BB7361}"/>
            </a:ext>
          </a:extLst>
        </xdr:cNvPr>
        <xdr:cNvPicPr>
          <a:picLocks noChangeAspect="1"/>
        </xdr:cNvPicPr>
      </xdr:nvPicPr>
      <xdr:blipFill>
        <a:blip xmlns:r="http://schemas.openxmlformats.org/officeDocument/2006/relationships" r:embed="rId5"/>
        <a:stretch>
          <a:fillRect/>
        </a:stretch>
      </xdr:blipFill>
      <xdr:spPr>
        <a:xfrm>
          <a:off x="11912600" y="5651501"/>
          <a:ext cx="576000" cy="304941"/>
        </a:xfrm>
        <a:prstGeom prst="rect">
          <a:avLst/>
        </a:prstGeom>
      </xdr:spPr>
    </xdr:pic>
    <xdr:clientData/>
  </xdr:twoCellAnchor>
  <xdr:twoCellAnchor editAs="oneCell">
    <xdr:from>
      <xdr:col>14</xdr:col>
      <xdr:colOff>457201</xdr:colOff>
      <xdr:row>29</xdr:row>
      <xdr:rowOff>76200</xdr:rowOff>
    </xdr:from>
    <xdr:to>
      <xdr:col>14</xdr:col>
      <xdr:colOff>914058</xdr:colOff>
      <xdr:row>31</xdr:row>
      <xdr:rowOff>137800</xdr:rowOff>
    </xdr:to>
    <xdr:pic>
      <xdr:nvPicPr>
        <xdr:cNvPr id="44" name="Imagem 43">
          <a:extLst>
            <a:ext uri="{FF2B5EF4-FFF2-40B4-BE49-F238E27FC236}">
              <a16:creationId xmlns:a16="http://schemas.microsoft.com/office/drawing/2014/main" id="{0BDC912B-F1AF-8841-B2DC-98BC57A7CE70}"/>
            </a:ext>
          </a:extLst>
        </xdr:cNvPr>
        <xdr:cNvPicPr>
          <a:picLocks noChangeAspect="1"/>
        </xdr:cNvPicPr>
      </xdr:nvPicPr>
      <xdr:blipFill>
        <a:blip xmlns:r="http://schemas.openxmlformats.org/officeDocument/2006/relationships" r:embed="rId6"/>
        <a:stretch>
          <a:fillRect/>
        </a:stretch>
      </xdr:blipFill>
      <xdr:spPr>
        <a:xfrm>
          <a:off x="12014201" y="6007100"/>
          <a:ext cx="456857" cy="468000"/>
        </a:xfrm>
        <a:prstGeom prst="rect">
          <a:avLst/>
        </a:prstGeom>
      </xdr:spPr>
    </xdr:pic>
    <xdr:clientData/>
  </xdr:twoCellAnchor>
  <xdr:twoCellAnchor editAs="oneCell">
    <xdr:from>
      <xdr:col>14</xdr:col>
      <xdr:colOff>377687</xdr:colOff>
      <xdr:row>13</xdr:row>
      <xdr:rowOff>25400</xdr:rowOff>
    </xdr:from>
    <xdr:to>
      <xdr:col>14</xdr:col>
      <xdr:colOff>800100</xdr:colOff>
      <xdr:row>16</xdr:row>
      <xdr:rowOff>63500</xdr:rowOff>
    </xdr:to>
    <xdr:pic>
      <xdr:nvPicPr>
        <xdr:cNvPr id="3" name="Imagem 2">
          <a:extLst>
            <a:ext uri="{FF2B5EF4-FFF2-40B4-BE49-F238E27FC236}">
              <a16:creationId xmlns:a16="http://schemas.microsoft.com/office/drawing/2014/main" id="{80D0901C-C913-9440-BB25-42A8968A4243}"/>
            </a:ext>
          </a:extLst>
        </xdr:cNvPr>
        <xdr:cNvPicPr>
          <a:picLocks noChangeAspect="1"/>
        </xdr:cNvPicPr>
      </xdr:nvPicPr>
      <xdr:blipFill>
        <a:blip xmlns:r="http://schemas.openxmlformats.org/officeDocument/2006/relationships" r:embed="rId7"/>
        <a:stretch>
          <a:fillRect/>
        </a:stretch>
      </xdr:blipFill>
      <xdr:spPr>
        <a:xfrm>
          <a:off x="11934687" y="2705100"/>
          <a:ext cx="422413" cy="647700"/>
        </a:xfrm>
        <a:prstGeom prst="rect">
          <a:avLst/>
        </a:prstGeom>
      </xdr:spPr>
    </xdr:pic>
    <xdr:clientData/>
  </xdr:twoCellAnchor>
  <xdr:twoCellAnchor editAs="oneCell">
    <xdr:from>
      <xdr:col>14</xdr:col>
      <xdr:colOff>469900</xdr:colOff>
      <xdr:row>17</xdr:row>
      <xdr:rowOff>165100</xdr:rowOff>
    </xdr:from>
    <xdr:to>
      <xdr:col>14</xdr:col>
      <xdr:colOff>787400</xdr:colOff>
      <xdr:row>19</xdr:row>
      <xdr:rowOff>190500</xdr:rowOff>
    </xdr:to>
    <xdr:pic>
      <xdr:nvPicPr>
        <xdr:cNvPr id="4" name="Imagem 3">
          <a:extLst>
            <a:ext uri="{FF2B5EF4-FFF2-40B4-BE49-F238E27FC236}">
              <a16:creationId xmlns:a16="http://schemas.microsoft.com/office/drawing/2014/main" id="{A08F3E37-67E5-B64F-B803-4A1798E12A0D}"/>
            </a:ext>
          </a:extLst>
        </xdr:cNvPr>
        <xdr:cNvPicPr>
          <a:picLocks noChangeAspect="1"/>
        </xdr:cNvPicPr>
      </xdr:nvPicPr>
      <xdr:blipFill>
        <a:blip xmlns:r="http://schemas.openxmlformats.org/officeDocument/2006/relationships" r:embed="rId8"/>
        <a:stretch>
          <a:fillRect/>
        </a:stretch>
      </xdr:blipFill>
      <xdr:spPr>
        <a:xfrm>
          <a:off x="12026900" y="3657600"/>
          <a:ext cx="317500" cy="431800"/>
        </a:xfrm>
        <a:prstGeom prst="rect">
          <a:avLst/>
        </a:prstGeom>
      </xdr:spPr>
    </xdr:pic>
    <xdr:clientData/>
  </xdr:twoCellAnchor>
  <xdr:twoCellAnchor editAs="oneCell">
    <xdr:from>
      <xdr:col>14</xdr:col>
      <xdr:colOff>299155</xdr:colOff>
      <xdr:row>22</xdr:row>
      <xdr:rowOff>87489</xdr:rowOff>
    </xdr:from>
    <xdr:to>
      <xdr:col>14</xdr:col>
      <xdr:colOff>997655</xdr:colOff>
      <xdr:row>24</xdr:row>
      <xdr:rowOff>138289</xdr:rowOff>
    </xdr:to>
    <xdr:pic>
      <xdr:nvPicPr>
        <xdr:cNvPr id="5" name="Imagem 4">
          <a:extLst>
            <a:ext uri="{FF2B5EF4-FFF2-40B4-BE49-F238E27FC236}">
              <a16:creationId xmlns:a16="http://schemas.microsoft.com/office/drawing/2014/main" id="{60D09EE5-93D0-7D47-B01D-4A798F1DE039}"/>
            </a:ext>
          </a:extLst>
        </xdr:cNvPr>
        <xdr:cNvPicPr>
          <a:picLocks noChangeAspect="1"/>
        </xdr:cNvPicPr>
      </xdr:nvPicPr>
      <xdr:blipFill>
        <a:blip xmlns:r="http://schemas.openxmlformats.org/officeDocument/2006/relationships" r:embed="rId9"/>
        <a:stretch>
          <a:fillRect/>
        </a:stretch>
      </xdr:blipFill>
      <xdr:spPr>
        <a:xfrm>
          <a:off x="11954933" y="4476045"/>
          <a:ext cx="698500" cy="445911"/>
        </a:xfrm>
        <a:prstGeom prst="rect">
          <a:avLst/>
        </a:prstGeom>
      </xdr:spPr>
    </xdr:pic>
    <xdr:clientData/>
  </xdr:twoCellAnchor>
  <xdr:twoCellAnchor editAs="oneCell">
    <xdr:from>
      <xdr:col>14</xdr:col>
      <xdr:colOff>158749</xdr:colOff>
      <xdr:row>8</xdr:row>
      <xdr:rowOff>158748</xdr:rowOff>
    </xdr:from>
    <xdr:to>
      <xdr:col>14</xdr:col>
      <xdr:colOff>1040029</xdr:colOff>
      <xdr:row>10</xdr:row>
      <xdr:rowOff>177998</xdr:rowOff>
    </xdr:to>
    <xdr:pic>
      <xdr:nvPicPr>
        <xdr:cNvPr id="6" name="Imagem 5">
          <a:extLst>
            <a:ext uri="{FF2B5EF4-FFF2-40B4-BE49-F238E27FC236}">
              <a16:creationId xmlns:a16="http://schemas.microsoft.com/office/drawing/2014/main" id="{921E31DB-A660-D743-8D67-0B496BF36BF1}"/>
            </a:ext>
          </a:extLst>
        </xdr:cNvPr>
        <xdr:cNvPicPr>
          <a:picLocks noChangeAspect="1"/>
        </xdr:cNvPicPr>
      </xdr:nvPicPr>
      <xdr:blipFill>
        <a:blip xmlns:r="http://schemas.openxmlformats.org/officeDocument/2006/relationships" r:embed="rId10"/>
        <a:stretch>
          <a:fillRect/>
        </a:stretch>
      </xdr:blipFill>
      <xdr:spPr>
        <a:xfrm>
          <a:off x="11715749" y="1841498"/>
          <a:ext cx="881280" cy="43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105832</xdr:colOff>
      <xdr:row>4</xdr:row>
      <xdr:rowOff>195791</xdr:rowOff>
    </xdr:from>
    <xdr:to>
      <xdr:col>43</xdr:col>
      <xdr:colOff>609599</xdr:colOff>
      <xdr:row>57</xdr:row>
      <xdr:rowOff>127001</xdr:rowOff>
    </xdr:to>
    <xdr:sp macro="" textlink="">
      <xdr:nvSpPr>
        <xdr:cNvPr id="5" name="Retângulo 4">
          <a:extLst>
            <a:ext uri="{FF2B5EF4-FFF2-40B4-BE49-F238E27FC236}">
              <a16:creationId xmlns:a16="http://schemas.microsoft.com/office/drawing/2014/main" id="{35FA2156-3D8B-1649-A13D-F5FDB30B3565}"/>
            </a:ext>
          </a:extLst>
        </xdr:cNvPr>
        <xdr:cNvSpPr/>
      </xdr:nvSpPr>
      <xdr:spPr>
        <a:xfrm>
          <a:off x="2468032" y="1008591"/>
          <a:ext cx="34869967" cy="10751610"/>
        </a:xfrm>
        <a:prstGeom prst="rect">
          <a:avLst/>
        </a:prstGeom>
        <a:noFill/>
        <a:ln>
          <a:solidFill>
            <a:srgbClr val="1F704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2</xdr:col>
      <xdr:colOff>132646</xdr:colOff>
      <xdr:row>61</xdr:row>
      <xdr:rowOff>55034</xdr:rowOff>
    </xdr:from>
    <xdr:to>
      <xdr:col>16</xdr:col>
      <xdr:colOff>239889</xdr:colOff>
      <xdr:row>129</xdr:row>
      <xdr:rowOff>56443</xdr:rowOff>
    </xdr:to>
    <xdr:sp macro="" textlink="">
      <xdr:nvSpPr>
        <xdr:cNvPr id="6" name="Text Placeholder 4">
          <a:extLst>
            <a:ext uri="{FF2B5EF4-FFF2-40B4-BE49-F238E27FC236}">
              <a16:creationId xmlns:a16="http://schemas.microsoft.com/office/drawing/2014/main" id="{16294CF9-DB25-8144-A28E-CB8E4B023C13}"/>
            </a:ext>
          </a:extLst>
        </xdr:cNvPr>
        <xdr:cNvSpPr txBox="1">
          <a:spLocks/>
        </xdr:cNvSpPr>
      </xdr:nvSpPr>
      <xdr:spPr>
        <a:xfrm>
          <a:off x="2489202" y="12148256"/>
          <a:ext cx="11763020" cy="13435187"/>
        </a:xfrm>
        <a:prstGeom prst="rect">
          <a:avLst/>
        </a:prstGeom>
        <a:ln>
          <a:solidFill>
            <a:srgbClr val="1F7044"/>
          </a:solidFill>
        </a:ln>
      </xdr:spPr>
      <xdr:txBody>
        <a:bodyPr wrap="square" lIns="144000" tIns="144000" rIns="144000" bIns="144000">
          <a:noAutofit/>
        </a:bodyPr>
        <a:lstStyle>
          <a:defPPr>
            <a:defRPr lang="en-PT"/>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nSpc>
              <a:spcPct val="100000"/>
            </a:lnSpc>
            <a:spcBef>
              <a:spcPts val="0"/>
            </a:spcBef>
            <a:spcAft>
              <a:spcPts val="600"/>
            </a:spcAft>
            <a:buNone/>
          </a:pPr>
          <a:r>
            <a:rPr lang="pt-PT" sz="1800" b="1" i="0" baseline="0">
              <a:solidFill>
                <a:srgbClr val="1F7044"/>
              </a:solidFill>
              <a:latin typeface="Arial Black" panose="020B0604020202020204" pitchFamily="34" charset="0"/>
              <a:cs typeface="Arial Black" panose="020B0604020202020204" pitchFamily="34" charset="0"/>
            </a:rPr>
            <a:t>COMO UTILIZAR GEET</a:t>
          </a:r>
        </a:p>
        <a:p>
          <a:pPr marL="0" indent="0">
            <a:lnSpc>
              <a:spcPts val="1680"/>
            </a:lnSpc>
            <a:spcBef>
              <a:spcPts val="1200"/>
            </a:spcBef>
            <a:spcAft>
              <a:spcPts val="600"/>
            </a:spcAft>
            <a:buNone/>
          </a:pPr>
          <a:r>
            <a:rPr lang="pt-PT" sz="1400" b="1" i="1" baseline="0">
              <a:solidFill>
                <a:schemeClr val="tx2"/>
              </a:solidFill>
              <a:latin typeface="Arial" panose="020B0604020202020204" pitchFamily="34" charset="0"/>
              <a:cs typeface="Arial" panose="020B0604020202020204" pitchFamily="34" charset="0"/>
            </a:rPr>
            <a:t>Na primeira utilização, para realizar o inventário das emissões de GEE (Âmbitos 1 &amp; 2):</a:t>
          </a:r>
        </a:p>
        <a:p>
          <a:pPr marL="0" indent="0">
            <a:lnSpc>
              <a:spcPts val="1680"/>
            </a:lnSpc>
            <a:spcBef>
              <a:spcPts val="0"/>
            </a:spcBef>
            <a:spcAft>
              <a:spcPts val="600"/>
            </a:spcAft>
            <a:buNone/>
          </a:pPr>
          <a:r>
            <a:rPr lang="pt-PT" sz="1400" b="0" i="0" baseline="0">
              <a:solidFill>
                <a:schemeClr val="tx2"/>
              </a:solidFill>
              <a:latin typeface="Arial" panose="020B0604020202020204" pitchFamily="34" charset="0"/>
              <a:cs typeface="Arial" panose="020B0604020202020204" pitchFamily="34" charset="0"/>
            </a:rPr>
            <a:t>1. Estabelecer o período de 12 meses para o qual pretende efetuar o cálculo (ou inventário) das emissões de GEE. Sugere-se a adoção do ano civil.</a:t>
          </a:r>
        </a:p>
        <a:p>
          <a:pPr marL="0" indent="0">
            <a:lnSpc>
              <a:spcPts val="1680"/>
            </a:lnSpc>
            <a:spcBef>
              <a:spcPts val="0"/>
            </a:spcBef>
            <a:spcAft>
              <a:spcPts val="600"/>
            </a:spcAft>
            <a:buNone/>
          </a:pPr>
          <a:r>
            <a:rPr lang="pt-PT" sz="1400" b="0" i="0" baseline="0">
              <a:solidFill>
                <a:schemeClr val="tx2"/>
              </a:solidFill>
              <a:latin typeface="Arial" panose="020B0604020202020204" pitchFamily="34" charset="0"/>
              <a:cs typeface="Arial" panose="020B0604020202020204" pitchFamily="34" charset="0"/>
            </a:rPr>
            <a:t>2. Gravar o ficheiro GEET com o nome do estabelecimento e o ano a que concerne o período de reporte e cálculo das emissões.</a:t>
          </a:r>
        </a:p>
        <a:p>
          <a:pPr marL="0" indent="0">
            <a:lnSpc>
              <a:spcPts val="1680"/>
            </a:lnSpc>
            <a:spcBef>
              <a:spcPts val="0"/>
            </a:spcBef>
            <a:spcAft>
              <a:spcPts val="600"/>
            </a:spcAft>
            <a:buNone/>
          </a:pPr>
          <a:r>
            <a:rPr lang="pt-PT" sz="1400" b="0" i="0" baseline="0">
              <a:solidFill>
                <a:schemeClr val="tx2"/>
              </a:solidFill>
              <a:latin typeface="Arial" panose="020B0604020202020204" pitchFamily="34" charset="0"/>
              <a:cs typeface="Arial" panose="020B0604020202020204" pitchFamily="34" charset="0"/>
            </a:rPr>
            <a:t>3. Ir para a folha "DADOS_INVENTÁRIO" e, antes do seu preenchimento, consultar a informação apensa sobre a mesma, disponível em "Para saber mais sobre esta folha".</a:t>
          </a:r>
        </a:p>
        <a:p>
          <a:pPr marL="0" indent="0">
            <a:lnSpc>
              <a:spcPts val="1680"/>
            </a:lnSpc>
            <a:spcBef>
              <a:spcPts val="0"/>
            </a:spcBef>
            <a:spcAft>
              <a:spcPts val="600"/>
            </a:spcAft>
            <a:buNone/>
          </a:pPr>
          <a:r>
            <a:rPr lang="pt-PT" sz="1400" b="0" i="0" baseline="0">
              <a:solidFill>
                <a:schemeClr val="tx2"/>
              </a:solidFill>
              <a:latin typeface="Arial" panose="020B0604020202020204" pitchFamily="34" charset="0"/>
              <a:cs typeface="Arial" panose="020B0604020202020204" pitchFamily="34" charset="0"/>
            </a:rPr>
            <a:t>4. Preencher a folha "DADOS_INVENTÁRIO", seguindo as instruções que constam na folha, e considerando os suportes de informação mencionados.</a:t>
          </a:r>
        </a:p>
        <a:p>
          <a:pPr marL="0" indent="0">
            <a:lnSpc>
              <a:spcPts val="1680"/>
            </a:lnSpc>
            <a:spcBef>
              <a:spcPts val="0"/>
            </a:spcBef>
            <a:spcAft>
              <a:spcPts val="600"/>
            </a:spcAft>
            <a:buNone/>
          </a:pPr>
          <a:r>
            <a:rPr lang="pt-PT" sz="1400" b="0" i="0" baseline="0">
              <a:solidFill>
                <a:schemeClr val="tx2"/>
              </a:solidFill>
              <a:latin typeface="Arial" panose="020B0604020202020204" pitchFamily="34" charset="0"/>
              <a:cs typeface="Arial" panose="020B0604020202020204" pitchFamily="34" charset="0"/>
            </a:rPr>
            <a:t>5. Verificar os dados inseridos na folha "DADOS_INVENTÁRIO", a fim de garantir que não existem erros nem lacunas de informação.</a:t>
          </a:r>
        </a:p>
        <a:p>
          <a:pPr marL="0" indent="0">
            <a:lnSpc>
              <a:spcPts val="1680"/>
            </a:lnSpc>
            <a:spcBef>
              <a:spcPts val="0"/>
            </a:spcBef>
            <a:spcAft>
              <a:spcPts val="600"/>
            </a:spcAft>
            <a:buNone/>
          </a:pPr>
          <a:r>
            <a:rPr lang="pt-PT" sz="1400" b="0" i="0" baseline="0">
              <a:solidFill>
                <a:schemeClr val="tx2"/>
              </a:solidFill>
              <a:latin typeface="Arial" panose="020B0604020202020204" pitchFamily="34" charset="0"/>
              <a:cs typeface="Arial" panose="020B0604020202020204" pitchFamily="34" charset="0"/>
            </a:rPr>
            <a:t>6. Consultar a folha "RESULTADOS_INVENTÁRIO", para conhecer as emissões de GEE, nesse período de reporte, e o consumo de energia renovável.</a:t>
          </a:r>
        </a:p>
        <a:p>
          <a:pPr marL="0" indent="0">
            <a:lnSpc>
              <a:spcPts val="1680"/>
            </a:lnSpc>
            <a:spcBef>
              <a:spcPts val="1200"/>
            </a:spcBef>
            <a:spcAft>
              <a:spcPts val="600"/>
            </a:spcAft>
            <a:buNone/>
          </a:pPr>
          <a:r>
            <a:rPr lang="pt-PT" sz="1400" b="1" i="1" baseline="0">
              <a:solidFill>
                <a:schemeClr val="tx2"/>
              </a:solidFill>
              <a:latin typeface="Arial" panose="020B0604020202020204" pitchFamily="34" charset="0"/>
              <a:cs typeface="Arial" panose="020B0604020202020204" pitchFamily="34" charset="0"/>
            </a:rPr>
            <a:t>No segundo ano de utilização (e posteriores), para realizar o inventário das emissões de GEE (Âmbitos 1 &amp; 2):</a:t>
          </a:r>
        </a:p>
        <a:p>
          <a:pPr marL="0" indent="0">
            <a:lnSpc>
              <a:spcPts val="1680"/>
            </a:lnSpc>
            <a:spcBef>
              <a:spcPts val="0"/>
            </a:spcBef>
            <a:spcAft>
              <a:spcPts val="600"/>
            </a:spcAft>
            <a:buNone/>
          </a:pPr>
          <a:r>
            <a:rPr lang="pt-PT" sz="1400" b="0" i="0" baseline="0">
              <a:solidFill>
                <a:schemeClr val="tx2"/>
              </a:solidFill>
              <a:latin typeface="Arial" panose="020B0604020202020204" pitchFamily="34" charset="0"/>
              <a:cs typeface="Arial" panose="020B0604020202020204" pitchFamily="34" charset="0"/>
            </a:rPr>
            <a:t>1. Utilizar o ficheiro GEET do estabelecimento já prenchido (com a informação mais recente) e gravá-lo atualizando o ano a que concerne o (novo) período de reporte e cálculo das emissões.</a:t>
          </a:r>
        </a:p>
        <a:p>
          <a:pPr marL="0" indent="0">
            <a:lnSpc>
              <a:spcPts val="1680"/>
            </a:lnSpc>
            <a:spcBef>
              <a:spcPts val="0"/>
            </a:spcBef>
            <a:spcAft>
              <a:spcPts val="600"/>
            </a:spcAft>
            <a:buNone/>
          </a:pPr>
          <a:r>
            <a:rPr lang="pt-PT" sz="1400" b="0" i="0" baseline="0">
              <a:solidFill>
                <a:schemeClr val="tx2"/>
              </a:solidFill>
              <a:latin typeface="Arial" panose="020B0604020202020204" pitchFamily="34" charset="0"/>
              <a:cs typeface="Arial" panose="020B0604020202020204" pitchFamily="34" charset="0"/>
            </a:rPr>
            <a:t>2. Preencher a folha "DADOS_INVENTÁRIO", seguindo as instruções que constam nessa folha. Note que existem dados que são estáveis no tempo, pelo que deve apenas atualizar a informação que se alterou neste período de reporte (e que se refere, inevitavelemente, à atividade no estabelecimento, aos consumos de energia e ao fator de emissão da eletricidade).</a:t>
          </a:r>
        </a:p>
        <a:p>
          <a:pPr marL="0" indent="0">
            <a:lnSpc>
              <a:spcPts val="1680"/>
            </a:lnSpc>
            <a:spcBef>
              <a:spcPts val="0"/>
            </a:spcBef>
            <a:spcAft>
              <a:spcPts val="600"/>
            </a:spcAft>
            <a:buNone/>
          </a:pPr>
          <a:r>
            <a:rPr lang="pt-PT" sz="1400" b="0" i="0" baseline="0">
              <a:solidFill>
                <a:schemeClr val="tx2"/>
              </a:solidFill>
              <a:latin typeface="Arial" panose="020B0604020202020204" pitchFamily="34" charset="0"/>
              <a:cs typeface="Arial" panose="020B0604020202020204" pitchFamily="34" charset="0"/>
            </a:rPr>
            <a:t>3. Verificar os dados atualizados na folha "DADOS_INVENTÁRIO", a fim de garantir que foram realizadas todas as atualizações necessárias e que não existem erros nem lacunas de informação.</a:t>
          </a:r>
        </a:p>
        <a:p>
          <a:pPr marL="0" indent="0">
            <a:lnSpc>
              <a:spcPts val="1680"/>
            </a:lnSpc>
            <a:spcBef>
              <a:spcPts val="0"/>
            </a:spcBef>
            <a:spcAft>
              <a:spcPts val="600"/>
            </a:spcAft>
            <a:buNone/>
          </a:pPr>
          <a:r>
            <a:rPr lang="pt-PT" sz="1400" b="0" i="0" baseline="0">
              <a:solidFill>
                <a:schemeClr val="tx2"/>
              </a:solidFill>
              <a:latin typeface="Arial" panose="020B0604020202020204" pitchFamily="34" charset="0"/>
              <a:cs typeface="Arial" panose="020B0604020202020204" pitchFamily="34" charset="0"/>
            </a:rPr>
            <a:t>4. Consultar a folha "RESULTADOS_INVENTÁRIO", para conhecer as emissões de GEE, nesse período de reporte, e o consumo de energia renovável.</a:t>
          </a:r>
        </a:p>
        <a:p>
          <a:pPr marL="0" indent="0" algn="l" defTabSz="914400" rtl="0" eaLnBrk="1" latinLnBrk="0" hangingPunct="1">
            <a:lnSpc>
              <a:spcPts val="1680"/>
            </a:lnSpc>
            <a:spcBef>
              <a:spcPts val="1200"/>
            </a:spcBef>
            <a:spcAft>
              <a:spcPts val="600"/>
            </a:spcAft>
            <a:buNone/>
          </a:pPr>
          <a:r>
            <a:rPr lang="pt-PT" sz="1400" b="1" i="1" kern="1200" baseline="0">
              <a:solidFill>
                <a:schemeClr val="tx2"/>
              </a:solidFill>
              <a:latin typeface="Arial" panose="020B0604020202020204" pitchFamily="34" charset="0"/>
              <a:ea typeface="+mn-ea"/>
              <a:cs typeface="Arial" panose="020B0604020202020204" pitchFamily="34" charset="0"/>
            </a:rPr>
            <a:t>Para projetar as emissões (Âmbitos 1 &amp; 2):</a:t>
          </a:r>
        </a:p>
        <a:p>
          <a:pPr marL="0" indent="0">
            <a:lnSpc>
              <a:spcPts val="1680"/>
            </a:lnSpc>
            <a:spcBef>
              <a:spcPts val="0"/>
            </a:spcBef>
            <a:spcAft>
              <a:spcPts val="600"/>
            </a:spcAft>
            <a:buNone/>
          </a:pPr>
          <a:r>
            <a:rPr lang="pt-PT" sz="1400" b="0" i="1" baseline="0">
              <a:solidFill>
                <a:schemeClr val="tx2"/>
              </a:solidFill>
              <a:latin typeface="Arial" panose="020B0604020202020204" pitchFamily="34" charset="0"/>
              <a:cs typeface="Arial" panose="020B0604020202020204" pitchFamily="34" charset="0"/>
            </a:rPr>
            <a:t>O exercício de projeção efetua-se considerando dois cenários de base alternativos, no ano projetado: </a:t>
          </a:r>
        </a:p>
        <a:p>
          <a:pPr marL="0" indent="0">
            <a:lnSpc>
              <a:spcPts val="1680"/>
            </a:lnSpc>
            <a:spcBef>
              <a:spcPts val="0"/>
            </a:spcBef>
            <a:spcAft>
              <a:spcPts val="600"/>
            </a:spcAft>
            <a:buNone/>
          </a:pPr>
          <a:r>
            <a:rPr lang="pt-PT" sz="1400" b="0" i="1" baseline="0">
              <a:solidFill>
                <a:schemeClr val="tx2"/>
              </a:solidFill>
              <a:latin typeface="Arial" panose="020B0604020202020204" pitchFamily="34" charset="0"/>
              <a:cs typeface="Arial" panose="020B0604020202020204" pitchFamily="34" charset="0"/>
            </a:rPr>
            <a:t>i) Cenário "business-as-usual" (BAU), em que se mantêm todas as características base do estabelecimento e da sua atividade, bem como o mix de energia consumido, podendo variar a intensidade da atividade (maior/menor número de unidades de alojamento ocupadas) e o fator de emissão da eletricidade consumida (função do processo de descarbonização empreendido pela economia nacional e/ou pelo comercializador de energia); </a:t>
          </a:r>
        </a:p>
        <a:p>
          <a:pPr marL="0" indent="0">
            <a:lnSpc>
              <a:spcPts val="1680"/>
            </a:lnSpc>
            <a:spcBef>
              <a:spcPts val="0"/>
            </a:spcBef>
            <a:spcAft>
              <a:spcPts val="600"/>
            </a:spcAft>
            <a:buNone/>
          </a:pPr>
          <a:r>
            <a:rPr lang="pt-PT" sz="1400" b="0" i="1" baseline="0">
              <a:solidFill>
                <a:schemeClr val="tx2"/>
              </a:solidFill>
              <a:latin typeface="Arial" panose="020B0604020202020204" pitchFamily="34" charset="0"/>
              <a:cs typeface="Arial" panose="020B0604020202020204" pitchFamily="34" charset="0"/>
            </a:rPr>
            <a:t>ii) Cenário com medidas de redução de emissões, onde se equaciona a implementação de (3) tipologias de medidas, que se encontram pré-definidas: i) melhoria da eficiência energia (em 15%, 25% ou 35%); ii) eletrificação de equipamentos em 50% ou 100%; iii) consumo de energia de fontes renováveis em 25%, 50%, 75% ou 100%. A combinação das medidas é selecionada pelo utilizador. O objetivo deste exercício é ilustrar a ordem de grandeza do impacto de cada pacote de medidas potencial (e de cada tipologia de medidas) na redução das emissões do estabelecimento, atendendo às suas características particulares. </a:t>
          </a:r>
        </a:p>
        <a:p>
          <a:pPr marL="0" indent="0">
            <a:lnSpc>
              <a:spcPts val="1680"/>
            </a:lnSpc>
            <a:spcBef>
              <a:spcPts val="0"/>
            </a:spcBef>
            <a:spcAft>
              <a:spcPts val="600"/>
            </a:spcAft>
            <a:buNone/>
          </a:pPr>
          <a:r>
            <a:rPr lang="pt-PT" sz="1400" b="0" i="1" baseline="0">
              <a:solidFill>
                <a:schemeClr val="tx2"/>
              </a:solidFill>
              <a:latin typeface="Arial" panose="020B0604020202020204" pitchFamily="34" charset="0"/>
              <a:cs typeface="Arial" panose="020B0604020202020204" pitchFamily="34" charset="0"/>
            </a:rPr>
            <a:t>A realização do exercício de projeção efetua-se a partir do inventário de emissões de GEE mais recentes, pelo que só pode ser efetivado se a folha "DADOS_INVENTÁRIO" estiver adequadamente preenchida com a informação para o ano mais recente disponível.</a:t>
          </a:r>
        </a:p>
        <a:p>
          <a:pPr marL="0" indent="0">
            <a:lnSpc>
              <a:spcPts val="1680"/>
            </a:lnSpc>
            <a:spcBef>
              <a:spcPts val="0"/>
            </a:spcBef>
            <a:spcAft>
              <a:spcPts val="600"/>
            </a:spcAft>
            <a:buNone/>
          </a:pPr>
          <a:r>
            <a:rPr lang="pt-PT" sz="1400" b="0" i="1" baseline="0">
              <a:solidFill>
                <a:schemeClr val="tx2"/>
              </a:solidFill>
              <a:latin typeface="Arial" panose="020B0604020202020204" pitchFamily="34" charset="0"/>
              <a:cs typeface="Arial" panose="020B0604020202020204" pitchFamily="34" charset="0"/>
            </a:rPr>
            <a:t>O horizonte de projeção assumido é o ano 2030, o qual é suficientemente lato para que se possam equacionar a adoção de medidas mais estruturais (por ex., o autoconsumo de energia renovável).</a:t>
          </a:r>
        </a:p>
        <a:p>
          <a:pPr marL="0" indent="0">
            <a:lnSpc>
              <a:spcPts val="1680"/>
            </a:lnSpc>
            <a:spcBef>
              <a:spcPts val="0"/>
            </a:spcBef>
            <a:spcAft>
              <a:spcPts val="600"/>
            </a:spcAft>
            <a:buNone/>
          </a:pPr>
          <a:r>
            <a:rPr lang="pt-PT" sz="1400" b="0" i="0" baseline="0">
              <a:solidFill>
                <a:schemeClr val="tx2"/>
              </a:solidFill>
              <a:latin typeface="Arial" panose="020B0604020202020204" pitchFamily="34" charset="0"/>
              <a:cs typeface="Arial" panose="020B0604020202020204" pitchFamily="34" charset="0"/>
            </a:rPr>
            <a:t>1. Gravar o ficheiro GEET utilizado para a realização do inventário mais recente com o nome do estabelecimento e a extensão 2030 - ano a que concerne o horizonte de projeção.</a:t>
          </a:r>
        </a:p>
        <a:p>
          <a:pPr marL="0" indent="0">
            <a:lnSpc>
              <a:spcPts val="1680"/>
            </a:lnSpc>
            <a:spcBef>
              <a:spcPts val="0"/>
            </a:spcBef>
            <a:spcAft>
              <a:spcPts val="600"/>
            </a:spcAft>
            <a:buNone/>
          </a:pPr>
          <a:r>
            <a:rPr lang="pt-PT" sz="1400" b="0" i="0" baseline="0">
              <a:solidFill>
                <a:schemeClr val="tx2"/>
              </a:solidFill>
              <a:latin typeface="Arial" panose="020B0604020202020204" pitchFamily="34" charset="0"/>
              <a:cs typeface="Arial" panose="020B0604020202020204" pitchFamily="34" charset="0"/>
            </a:rPr>
            <a:t>2. Ir para a folha "PROJEÇÕES" e, antes do seu preenchimento, consultar a informação apensa sobre a mesma em "Para saber mais sobre esta folha".</a:t>
          </a:r>
        </a:p>
        <a:p>
          <a:pPr marL="0" indent="0">
            <a:lnSpc>
              <a:spcPts val="1680"/>
            </a:lnSpc>
            <a:spcBef>
              <a:spcPts val="0"/>
            </a:spcBef>
            <a:spcAft>
              <a:spcPts val="600"/>
            </a:spcAft>
            <a:buNone/>
          </a:pPr>
          <a:r>
            <a:rPr lang="pt-PT" sz="1400" b="0" i="0" baseline="0">
              <a:solidFill>
                <a:schemeClr val="tx2"/>
              </a:solidFill>
              <a:latin typeface="Arial" panose="020B0604020202020204" pitchFamily="34" charset="0"/>
              <a:cs typeface="Arial" panose="020B0604020202020204" pitchFamily="34" charset="0"/>
            </a:rPr>
            <a:t>3. Preencher os dados solicitados na folha "PROJEÇÕES", começando sempre pelos dados relativos ao cenário BAU, e seguindo as instruções que constam na folha.</a:t>
          </a:r>
        </a:p>
        <a:p>
          <a:pPr marL="0" indent="0">
            <a:lnSpc>
              <a:spcPts val="1680"/>
            </a:lnSpc>
            <a:spcBef>
              <a:spcPts val="0"/>
            </a:spcBef>
            <a:spcAft>
              <a:spcPts val="600"/>
            </a:spcAft>
            <a:buNone/>
          </a:pPr>
          <a:r>
            <a:rPr lang="pt-PT" sz="1400" b="0" i="0" baseline="0">
              <a:solidFill>
                <a:schemeClr val="tx2"/>
              </a:solidFill>
              <a:latin typeface="Arial" panose="020B0604020202020204" pitchFamily="34" charset="0"/>
              <a:cs typeface="Arial" panose="020B0604020202020204" pitchFamily="34" charset="0"/>
            </a:rPr>
            <a:t>4. Os resultados do cenário BAU aparecem automaticamente na respetiva tabela de Resultados na folha "PROJEÇÕES".</a:t>
          </a:r>
        </a:p>
        <a:p>
          <a:pPr marL="0" indent="0">
            <a:lnSpc>
              <a:spcPts val="1680"/>
            </a:lnSpc>
            <a:spcBef>
              <a:spcPts val="0"/>
            </a:spcBef>
            <a:spcAft>
              <a:spcPts val="600"/>
            </a:spcAft>
            <a:buNone/>
          </a:pPr>
          <a:r>
            <a:rPr lang="pt-PT" sz="1400" b="0" i="0" baseline="0">
              <a:solidFill>
                <a:schemeClr val="tx2"/>
              </a:solidFill>
              <a:latin typeface="Arial" panose="020B0604020202020204" pitchFamily="34" charset="0"/>
              <a:cs typeface="Arial" panose="020B0604020202020204" pitchFamily="34" charset="0"/>
            </a:rPr>
            <a:t>5. Preencher os dados solicitados na folha "PROJEÇÕES" para o cenário com medidas, contruindo um cenário verossímil para o estabelecimento em 2030, e realizando, a partir do mesmo, algumas análises de sensibilidade (fazendo variar as percentagens selecionadas e o preço sombra para o carbono).</a:t>
          </a:r>
          <a:endParaRPr lang="pt-PT" sz="1400" b="0" i="0" baseline="0">
            <a:solidFill>
              <a:srgbClr val="FF0000"/>
            </a:solidFill>
            <a:latin typeface="Arial" panose="020B0604020202020204" pitchFamily="34" charset="0"/>
            <a:cs typeface="Arial" panose="020B0604020202020204" pitchFamily="34" charset="0"/>
          </a:endParaRPr>
        </a:p>
        <a:p>
          <a:pPr marL="0" indent="0">
            <a:lnSpc>
              <a:spcPts val="1680"/>
            </a:lnSpc>
            <a:spcBef>
              <a:spcPts val="0"/>
            </a:spcBef>
            <a:spcAft>
              <a:spcPts val="600"/>
            </a:spcAft>
            <a:buNone/>
          </a:pPr>
          <a:r>
            <a:rPr lang="pt-PT" sz="1400" b="0" i="0" baseline="0">
              <a:solidFill>
                <a:schemeClr val="tx2"/>
              </a:solidFill>
              <a:latin typeface="Arial" panose="020B0604020202020204" pitchFamily="34" charset="0"/>
              <a:cs typeface="Arial" panose="020B0604020202020204" pitchFamily="34" charset="0"/>
            </a:rPr>
            <a:t>6. Os resultados do cenário com medidas e da análise comparativa com o cenário BAU aparecem automaticamente nas respetivas tabelas de Resultados na folha "PROJEÇÕES".</a:t>
          </a:r>
        </a:p>
        <a:p>
          <a:pPr marL="0" indent="0">
            <a:lnSpc>
              <a:spcPts val="1680"/>
            </a:lnSpc>
            <a:spcBef>
              <a:spcPts val="0"/>
            </a:spcBef>
            <a:spcAft>
              <a:spcPts val="600"/>
            </a:spcAft>
            <a:buNone/>
          </a:pPr>
          <a:endParaRPr lang="pt-PT" sz="1400" b="0" i="0" baseline="0">
            <a:solidFill>
              <a:srgbClr val="2F5497"/>
            </a:solidFill>
            <a:latin typeface="Arial" panose="020B0604020202020204" pitchFamily="34" charset="0"/>
            <a:cs typeface="Arial" panose="020B0604020202020204" pitchFamily="34" charset="0"/>
          </a:endParaRPr>
        </a:p>
      </xdr:txBody>
    </xdr:sp>
    <xdr:clientData/>
  </xdr:twoCellAnchor>
  <xdr:twoCellAnchor>
    <xdr:from>
      <xdr:col>2</xdr:col>
      <xdr:colOff>395111</xdr:colOff>
      <xdr:row>5</xdr:row>
      <xdr:rowOff>127000</xdr:rowOff>
    </xdr:from>
    <xdr:to>
      <xdr:col>16</xdr:col>
      <xdr:colOff>183445</xdr:colOff>
      <xdr:row>57</xdr:row>
      <xdr:rowOff>25400</xdr:rowOff>
    </xdr:to>
    <xdr:sp macro="" textlink="">
      <xdr:nvSpPr>
        <xdr:cNvPr id="8" name="Text Placeholder 4">
          <a:extLst>
            <a:ext uri="{FF2B5EF4-FFF2-40B4-BE49-F238E27FC236}">
              <a16:creationId xmlns:a16="http://schemas.microsoft.com/office/drawing/2014/main" id="{F76EF477-49F9-EF44-A195-0336563096E6}"/>
            </a:ext>
          </a:extLst>
        </xdr:cNvPr>
        <xdr:cNvSpPr txBox="1">
          <a:spLocks/>
        </xdr:cNvSpPr>
      </xdr:nvSpPr>
      <xdr:spPr>
        <a:xfrm>
          <a:off x="2757311" y="1193800"/>
          <a:ext cx="11523134" cy="10464800"/>
        </a:xfrm>
        <a:prstGeom prst="rect">
          <a:avLst/>
        </a:prstGeom>
        <a:ln>
          <a:noFill/>
        </a:ln>
      </xdr:spPr>
      <xdr:txBody>
        <a:bodyPr wrap="square" lIns="144000" tIns="144000" rIns="144000" bIns="144000">
          <a:noAutofit/>
        </a:bodyPr>
        <a:lstStyle>
          <a:defPPr>
            <a:defRPr lang="en-PT"/>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nSpc>
              <a:spcPct val="100000"/>
            </a:lnSpc>
            <a:spcBef>
              <a:spcPts val="0"/>
            </a:spcBef>
            <a:spcAft>
              <a:spcPts val="600"/>
            </a:spcAft>
            <a:buNone/>
          </a:pPr>
          <a:r>
            <a:rPr lang="pt-PT" sz="1800" b="1" i="0" baseline="0">
              <a:solidFill>
                <a:srgbClr val="1F7044"/>
              </a:solidFill>
              <a:latin typeface="Arial Black" panose="020B0604020202020204" pitchFamily="34" charset="0"/>
              <a:cs typeface="Arial Black" panose="020B0604020202020204" pitchFamily="34" charset="0"/>
            </a:rPr>
            <a:t>SOBRE GEET </a:t>
          </a:r>
        </a:p>
        <a:p>
          <a:pPr marL="0" indent="0">
            <a:lnSpc>
              <a:spcPts val="1680"/>
            </a:lnSpc>
            <a:spcBef>
              <a:spcPts val="0"/>
            </a:spcBef>
            <a:spcAft>
              <a:spcPts val="600"/>
            </a:spcAft>
            <a:buNone/>
          </a:pPr>
          <a:endParaRPr lang="pt-PT" sz="1400" b="0" i="0" baseline="0">
            <a:solidFill>
              <a:schemeClr val="tx1">
                <a:lumMod val="50000"/>
                <a:lumOff val="50000"/>
              </a:schemeClr>
            </a:solidFill>
            <a:latin typeface="Arial" panose="020B0604020202020204" pitchFamily="34" charset="0"/>
            <a:cs typeface="Arial" panose="020B0604020202020204" pitchFamily="34" charset="0"/>
          </a:endParaRPr>
        </a:p>
        <a:p>
          <a:pPr marL="0" indent="0">
            <a:lnSpc>
              <a:spcPts val="1680"/>
            </a:lnSpc>
            <a:spcBef>
              <a:spcPts val="0"/>
            </a:spcBef>
            <a:spcAft>
              <a:spcPts val="600"/>
            </a:spcAft>
            <a:buNone/>
          </a:pPr>
          <a:r>
            <a:rPr lang="pt-PT" sz="1400" b="0" i="0" baseline="0">
              <a:solidFill>
                <a:schemeClr val="tx2"/>
              </a:solidFill>
              <a:latin typeface="Arial" panose="020B0604020202020204" pitchFamily="34" charset="0"/>
              <a:cs typeface="Arial" panose="020B0604020202020204" pitchFamily="34" charset="0"/>
            </a:rPr>
            <a:t>GEET é uma folha de cálculo vocacionada para utilização, em autonomia, por um estabelecimento hoteleiro, ou por outra categoria de empreendimento turístico, que pretenda realizar o seu inventário anual de emissões de gases com efeito de estufa (GEE).</a:t>
          </a:r>
        </a:p>
        <a:p>
          <a:pPr marL="0" indent="0">
            <a:lnSpc>
              <a:spcPts val="1680"/>
            </a:lnSpc>
            <a:spcBef>
              <a:spcPts val="0"/>
            </a:spcBef>
            <a:spcAft>
              <a:spcPts val="600"/>
            </a:spcAft>
            <a:buNone/>
          </a:pPr>
          <a:r>
            <a:rPr lang="pt-PT" sz="1400" b="0" i="0" baseline="0">
              <a:solidFill>
                <a:schemeClr val="tx2"/>
              </a:solidFill>
              <a:latin typeface="Arial" panose="020B0604020202020204" pitchFamily="34" charset="0"/>
              <a:cs typeface="Arial" panose="020B0604020202020204" pitchFamily="34" charset="0"/>
            </a:rPr>
            <a:t>GEET efetua, automaticamente, a quantificação das emissões anuais de GEE de um determinado estabelecimento, a partir da inserção|atualização de um conjunto de dados de base. Permite também: i) realizar um exercício simplificado de projeção de emissões, para o ano 2030, capaz de ilustrar o potencial de redução de emissões associado a diferentes tipologias de medidas; e ii) calcular a pegada carbónica de clientes específicos (particulares ou corporativos).</a:t>
          </a:r>
        </a:p>
        <a:p>
          <a:pPr marL="0" indent="0">
            <a:lnSpc>
              <a:spcPts val="1680"/>
            </a:lnSpc>
            <a:spcBef>
              <a:spcPts val="0"/>
            </a:spcBef>
            <a:spcAft>
              <a:spcPts val="600"/>
            </a:spcAft>
            <a:buNone/>
          </a:pPr>
          <a:r>
            <a:rPr lang="pt-PT" sz="1400" b="0" i="0" baseline="0">
              <a:solidFill>
                <a:schemeClr val="tx2"/>
              </a:solidFill>
              <a:latin typeface="Arial" panose="020B0604020202020204" pitchFamily="34" charset="0"/>
              <a:cs typeface="Arial" panose="020B0604020202020204" pitchFamily="34" charset="0"/>
            </a:rPr>
            <a:t>GEET alicerça-se, assim, em 3 componentes principais, que se interrelacionam funcionalmente, </a:t>
          </a:r>
          <a:r>
            <a:rPr lang="pt-PT" sz="1400" b="0" i="1" baseline="0">
              <a:solidFill>
                <a:schemeClr val="tx2"/>
              </a:solidFill>
              <a:latin typeface="Arial" panose="020B0604020202020204" pitchFamily="34" charset="0"/>
              <a:cs typeface="Arial" panose="020B0604020202020204" pitchFamily="34" charset="0"/>
            </a:rPr>
            <a:t>a saber</a:t>
          </a:r>
          <a:r>
            <a:rPr lang="pt-PT" sz="1400" b="0" i="0" baseline="0">
              <a:solidFill>
                <a:schemeClr val="tx2"/>
              </a:solidFill>
              <a:latin typeface="Arial" panose="020B0604020202020204" pitchFamily="34" charset="0"/>
              <a:cs typeface="Arial" panose="020B0604020202020204" pitchFamily="34" charset="0"/>
            </a:rPr>
            <a:t>:</a:t>
          </a:r>
        </a:p>
        <a:p>
          <a:pPr marL="0" indent="0">
            <a:lnSpc>
              <a:spcPts val="1680"/>
            </a:lnSpc>
            <a:spcBef>
              <a:spcPts val="0"/>
            </a:spcBef>
            <a:spcAft>
              <a:spcPts val="600"/>
            </a:spcAft>
            <a:buNone/>
          </a:pPr>
          <a:r>
            <a:rPr lang="pt-PT" sz="1400" b="0" i="0" baseline="0">
              <a:solidFill>
                <a:schemeClr val="tx2"/>
              </a:solidFill>
              <a:latin typeface="Arial" panose="020B0604020202020204" pitchFamily="34" charset="0"/>
              <a:cs typeface="Arial" panose="020B0604020202020204" pitchFamily="34" charset="0"/>
            </a:rPr>
            <a:t>i) </a:t>
          </a:r>
          <a:r>
            <a:rPr lang="pt-PT" sz="1400" b="1" i="0" baseline="0">
              <a:solidFill>
                <a:schemeClr val="tx2"/>
              </a:solidFill>
              <a:latin typeface="Arial" panose="020B0604020202020204" pitchFamily="34" charset="0"/>
              <a:cs typeface="Arial" panose="020B0604020202020204" pitchFamily="34" charset="0"/>
            </a:rPr>
            <a:t>Inventário anual de emissões de GEE </a:t>
          </a:r>
          <a:r>
            <a:rPr lang="pt-PT" sz="1400" b="0" i="0" baseline="0">
              <a:solidFill>
                <a:schemeClr val="tx2"/>
              </a:solidFill>
              <a:latin typeface="Arial" panose="020B0604020202020204" pitchFamily="34" charset="0"/>
              <a:cs typeface="Arial" panose="020B0604020202020204" pitchFamily="34" charset="0"/>
            </a:rPr>
            <a:t>(</a:t>
          </a:r>
          <a:r>
            <a:rPr lang="pt-PT" sz="1400" b="0" i="1" baseline="0">
              <a:solidFill>
                <a:schemeClr val="tx2"/>
              </a:solidFill>
              <a:latin typeface="Arial" panose="020B0604020202020204" pitchFamily="34" charset="0"/>
              <a:cs typeface="Arial" panose="020B0604020202020204" pitchFamily="34" charset="0"/>
            </a:rPr>
            <a:t>a sua principal componente</a:t>
          </a:r>
          <a:r>
            <a:rPr lang="pt-PT" sz="1400" b="0" i="0" baseline="0">
              <a:solidFill>
                <a:schemeClr val="tx2"/>
              </a:solidFill>
              <a:latin typeface="Arial" panose="020B0604020202020204" pitchFamily="34" charset="0"/>
              <a:cs typeface="Arial" panose="020B0604020202020204" pitchFamily="34" charset="0"/>
            </a:rPr>
            <a:t>) [suportado operacionalmemnte pelas folhas "DADOS_INVENTÁRIO" e "RESULTADOS_INVENTÁRIO"]; </a:t>
          </a:r>
        </a:p>
        <a:p>
          <a:pPr marL="0" indent="0">
            <a:lnSpc>
              <a:spcPts val="1680"/>
            </a:lnSpc>
            <a:spcBef>
              <a:spcPts val="0"/>
            </a:spcBef>
            <a:spcAft>
              <a:spcPts val="600"/>
            </a:spcAft>
            <a:buNone/>
          </a:pPr>
          <a:r>
            <a:rPr lang="pt-PT" sz="1400" b="0" i="0" baseline="0">
              <a:solidFill>
                <a:schemeClr val="tx2"/>
              </a:solidFill>
              <a:latin typeface="Arial" panose="020B0604020202020204" pitchFamily="34" charset="0"/>
              <a:cs typeface="Arial" panose="020B0604020202020204" pitchFamily="34" charset="0"/>
            </a:rPr>
            <a:t>ii) </a:t>
          </a:r>
          <a:r>
            <a:rPr lang="pt-PT" sz="1400" b="1" i="0" baseline="0">
              <a:solidFill>
                <a:schemeClr val="tx2"/>
              </a:solidFill>
              <a:latin typeface="Arial" panose="020B0604020202020204" pitchFamily="34" charset="0"/>
              <a:cs typeface="Arial" panose="020B0604020202020204" pitchFamily="34" charset="0"/>
            </a:rPr>
            <a:t>Projeção de emissões de GEE</a:t>
          </a:r>
          <a:r>
            <a:rPr lang="pt-PT" sz="1400" b="0" i="0" baseline="0">
              <a:solidFill>
                <a:schemeClr val="tx2"/>
              </a:solidFill>
              <a:latin typeface="Arial" panose="020B0604020202020204" pitchFamily="34" charset="0"/>
              <a:cs typeface="Arial" panose="020B0604020202020204" pitchFamily="34" charset="0"/>
            </a:rPr>
            <a:t>, num cenário Business-as-usual" (BAU), i.e., sem medidas de redução, e num cenário com medidas de redução [folha "PROJEÇÕES"]; e </a:t>
          </a:r>
        </a:p>
        <a:p>
          <a:pPr marL="0" indent="0">
            <a:lnSpc>
              <a:spcPts val="1680"/>
            </a:lnSpc>
            <a:spcBef>
              <a:spcPts val="0"/>
            </a:spcBef>
            <a:spcAft>
              <a:spcPts val="600"/>
            </a:spcAft>
            <a:buNone/>
          </a:pPr>
          <a:r>
            <a:rPr lang="pt-PT" sz="1400" b="0" i="0" baseline="0">
              <a:solidFill>
                <a:schemeClr val="tx2"/>
              </a:solidFill>
              <a:latin typeface="Arial" panose="020B0604020202020204" pitchFamily="34" charset="0"/>
              <a:cs typeface="Arial" panose="020B0604020202020204" pitchFamily="34" charset="0"/>
            </a:rPr>
            <a:t>iii) </a:t>
          </a:r>
          <a:r>
            <a:rPr lang="pt-PT" sz="1400" b="1" i="0" baseline="0">
              <a:solidFill>
                <a:schemeClr val="tx2"/>
              </a:solidFill>
              <a:latin typeface="Arial" panose="020B0604020202020204" pitchFamily="34" charset="0"/>
              <a:cs typeface="Arial" panose="020B0604020202020204" pitchFamily="34" charset="0"/>
            </a:rPr>
            <a:t>Calculadora da pegada de carbono de clientes</a:t>
          </a:r>
          <a:r>
            <a:rPr lang="pt-PT" sz="1400" b="0" i="0" baseline="0">
              <a:solidFill>
                <a:schemeClr val="tx2"/>
              </a:solidFill>
              <a:latin typeface="Arial" panose="020B0604020202020204" pitchFamily="34" charset="0"/>
              <a:cs typeface="Arial" panose="020B0604020202020204" pitchFamily="34" charset="0"/>
            </a:rPr>
            <a:t> [folha "PEGADA DE CLIENTES"].</a:t>
          </a:r>
        </a:p>
        <a:p>
          <a:pPr marL="0" indent="0">
            <a:lnSpc>
              <a:spcPts val="1680"/>
            </a:lnSpc>
            <a:spcBef>
              <a:spcPts val="600"/>
            </a:spcBef>
            <a:spcAft>
              <a:spcPts val="600"/>
            </a:spcAft>
            <a:buNone/>
          </a:pPr>
          <a:r>
            <a:rPr lang="pt-PT" sz="1400" b="0" i="0" baseline="0">
              <a:solidFill>
                <a:schemeClr val="tx2"/>
              </a:solidFill>
              <a:latin typeface="Arial" panose="020B0604020202020204" pitchFamily="34" charset="0"/>
              <a:cs typeface="Arial" panose="020B0604020202020204" pitchFamily="34" charset="0"/>
            </a:rPr>
            <a:t>O cálculo de emissões de GEE integra dois universos de informação principais, </a:t>
          </a:r>
          <a:r>
            <a:rPr lang="pt-PT" sz="1400" b="0" i="1" baseline="0">
              <a:solidFill>
                <a:schemeClr val="tx2"/>
              </a:solidFill>
              <a:latin typeface="Arial" panose="020B0604020202020204" pitchFamily="34" charset="0"/>
              <a:cs typeface="Arial" panose="020B0604020202020204" pitchFamily="34" charset="0"/>
            </a:rPr>
            <a:t>a saber</a:t>
          </a:r>
          <a:r>
            <a:rPr lang="pt-PT" sz="1400" b="0" i="0" baseline="0">
              <a:solidFill>
                <a:schemeClr val="tx2"/>
              </a:solidFill>
              <a:latin typeface="Arial" panose="020B0604020202020204" pitchFamily="34" charset="0"/>
              <a:cs typeface="Arial" panose="020B0604020202020204" pitchFamily="34" charset="0"/>
            </a:rPr>
            <a:t>:</a:t>
          </a:r>
        </a:p>
        <a:p>
          <a:pPr marL="457200" lvl="1" indent="0">
            <a:lnSpc>
              <a:spcPts val="1680"/>
            </a:lnSpc>
            <a:spcBef>
              <a:spcPts val="0"/>
            </a:spcBef>
            <a:spcAft>
              <a:spcPts val="600"/>
            </a:spcAft>
            <a:buNone/>
          </a:pPr>
          <a:r>
            <a:rPr lang="pt-PT" sz="1400" b="1" i="0" baseline="0">
              <a:solidFill>
                <a:schemeClr val="tx2"/>
              </a:solidFill>
              <a:latin typeface="Arial" panose="020B0604020202020204" pitchFamily="34" charset="0"/>
              <a:cs typeface="Arial" panose="020B0604020202020204" pitchFamily="34" charset="0"/>
            </a:rPr>
            <a:t>- Dados</a:t>
          </a:r>
        </a:p>
        <a:p>
          <a:pPr marL="457200" lvl="1" indent="0">
            <a:lnSpc>
              <a:spcPts val="1680"/>
            </a:lnSpc>
            <a:spcBef>
              <a:spcPts val="0"/>
            </a:spcBef>
            <a:spcAft>
              <a:spcPts val="600"/>
            </a:spcAft>
            <a:buNone/>
          </a:pPr>
          <a:r>
            <a:rPr lang="pt-PT" sz="1400" b="0" i="0" baseline="0">
              <a:solidFill>
                <a:schemeClr val="tx2"/>
              </a:solidFill>
              <a:latin typeface="Arial" panose="020B0604020202020204" pitchFamily="34" charset="0"/>
              <a:cs typeface="Arial" panose="020B0604020202020204" pitchFamily="34" charset="0"/>
            </a:rPr>
            <a:t>Dados sobre o estabelecimento, a sua atividade e as fontes de emissão de GEE, que se desagregam em combustão fixa, combustão móvel, consumos de eletricidade e emissões fugitivas. Integram também fatores de emissão.</a:t>
          </a:r>
        </a:p>
        <a:p>
          <a:pPr marL="457200" lvl="1" indent="0">
            <a:lnSpc>
              <a:spcPts val="1680"/>
            </a:lnSpc>
            <a:spcBef>
              <a:spcPts val="0"/>
            </a:spcBef>
            <a:spcAft>
              <a:spcPts val="600"/>
            </a:spcAft>
            <a:buNone/>
          </a:pPr>
          <a:r>
            <a:rPr lang="pt-PT" sz="1400" b="0" i="0" baseline="0">
              <a:solidFill>
                <a:schemeClr val="tx2"/>
              </a:solidFill>
              <a:latin typeface="Arial" panose="020B0604020202020204" pitchFamily="34" charset="0"/>
              <a:cs typeface="Arial" panose="020B0604020202020204" pitchFamily="34" charset="0"/>
            </a:rPr>
            <a:t> A folha "DADOS_INVENTÁRIO" reúne todos os dados que alicerçam o inventário de emissões, para o período de 12 meses de reporte, e serve também os exercícios simplificados de projeção; a folha "PROJEÇÕES" integra os restantes dados utilizados nesses exercícios, para o ano projetado (2030), e inclui cenários de tipologias de medidas pré-construídos, a selecionar pelo utilizador; os dados específicos dos clientes, que caracterizam a sua utilização do estabelecimento, constam da folha "PEGADA DE CLIENTES". </a:t>
          </a:r>
        </a:p>
        <a:p>
          <a:pPr marL="457200" lvl="1" indent="0">
            <a:lnSpc>
              <a:spcPts val="1680"/>
            </a:lnSpc>
            <a:spcBef>
              <a:spcPts val="0"/>
            </a:spcBef>
            <a:spcAft>
              <a:spcPts val="600"/>
            </a:spcAft>
            <a:buNone/>
          </a:pPr>
          <a:r>
            <a:rPr lang="pt-PT" sz="1400" b="1" i="0" baseline="0">
              <a:solidFill>
                <a:schemeClr val="tx2"/>
              </a:solidFill>
              <a:latin typeface="Arial" panose="020B0604020202020204" pitchFamily="34" charset="0"/>
              <a:cs typeface="Arial" panose="020B0604020202020204" pitchFamily="34" charset="0"/>
            </a:rPr>
            <a:t>- Resultados</a:t>
          </a:r>
        </a:p>
        <a:p>
          <a:pPr marL="457200" lvl="1" indent="0">
            <a:lnSpc>
              <a:spcPts val="1680"/>
            </a:lnSpc>
            <a:spcBef>
              <a:spcPts val="0"/>
            </a:spcBef>
            <a:spcAft>
              <a:spcPts val="600"/>
            </a:spcAft>
            <a:buNone/>
          </a:pPr>
          <a:r>
            <a:rPr lang="pt-PT" sz="1400" b="0" i="0" baseline="0">
              <a:solidFill>
                <a:schemeClr val="tx2"/>
              </a:solidFill>
              <a:latin typeface="Arial" panose="020B0604020202020204" pitchFamily="34" charset="0"/>
              <a:cs typeface="Arial" panose="020B0604020202020204" pitchFamily="34" charset="0"/>
            </a:rPr>
            <a:t>Inventário de emissões de GEE [folha "RESULTADOS_INVENTÁRIO"]: Emissões de GEE do estabelecimento, no período de reporte, que se apresentam com diferentes níveis de desagregação; suplementarmente, (peso do) consumo de energia renovável.</a:t>
          </a:r>
        </a:p>
        <a:p>
          <a:pPr marL="457200" lvl="1" indent="0">
            <a:lnSpc>
              <a:spcPts val="1680"/>
            </a:lnSpc>
            <a:spcBef>
              <a:spcPts val="0"/>
            </a:spcBef>
            <a:spcAft>
              <a:spcPts val="600"/>
            </a:spcAft>
            <a:buNone/>
          </a:pPr>
          <a:r>
            <a:rPr lang="pt-PT" sz="1400" b="0" i="0" baseline="0">
              <a:solidFill>
                <a:schemeClr val="tx2"/>
              </a:solidFill>
              <a:latin typeface="Arial" panose="020B0604020202020204" pitchFamily="34" charset="0"/>
              <a:cs typeface="Arial" panose="020B0604020202020204" pitchFamily="34" charset="0"/>
            </a:rPr>
            <a:t>Pegada de carbono de clientes [folha "PEGADA DE CLIENTES"]: Emissões de GEE associadas à utilização do estabelecimento por um cliente específíco.</a:t>
          </a:r>
        </a:p>
        <a:p>
          <a:pPr marL="457200" lvl="1" indent="0">
            <a:lnSpc>
              <a:spcPts val="1680"/>
            </a:lnSpc>
            <a:spcBef>
              <a:spcPts val="0"/>
            </a:spcBef>
            <a:spcAft>
              <a:spcPts val="600"/>
            </a:spcAft>
            <a:buNone/>
          </a:pPr>
          <a:r>
            <a:rPr lang="pt-PT" sz="1400" b="0" i="0" baseline="0">
              <a:solidFill>
                <a:schemeClr val="tx2"/>
              </a:solidFill>
              <a:latin typeface="Arial" panose="020B0604020202020204" pitchFamily="34" charset="0"/>
              <a:cs typeface="Arial" panose="020B0604020202020204" pitchFamily="34" charset="0"/>
            </a:rPr>
            <a:t>Projeção de emissões de GEE [folha "PROJEÇÕES"]: Estimativas de emissões de GEE (BAU e com medidas de redução), no ano projetado (2030); suplementarmente, análise comparativa dos cenários com/sem medidas de redução, em termos de volume de emissões evitadas e do respetivo valor sombra associado.</a:t>
          </a:r>
        </a:p>
        <a:p>
          <a:pPr marL="457200" lvl="1" indent="0">
            <a:lnSpc>
              <a:spcPts val="1680"/>
            </a:lnSpc>
            <a:spcBef>
              <a:spcPts val="0"/>
            </a:spcBef>
            <a:spcAft>
              <a:spcPts val="600"/>
            </a:spcAft>
            <a:buNone/>
          </a:pPr>
          <a:r>
            <a:rPr lang="pt-PT" sz="1400" b="0" i="0" baseline="0">
              <a:solidFill>
                <a:schemeClr val="tx2"/>
              </a:solidFill>
              <a:latin typeface="Arial" panose="020B0604020202020204" pitchFamily="34" charset="0"/>
              <a:cs typeface="Arial" panose="020B0604020202020204" pitchFamily="34" charset="0"/>
            </a:rPr>
            <a:t>Todos os resultados de emissões de GEE são expressos em dióxido de carbono equivalente (CO2e).</a:t>
          </a:r>
        </a:p>
        <a:p>
          <a:pPr marL="0" indent="0">
            <a:lnSpc>
              <a:spcPts val="1680"/>
            </a:lnSpc>
            <a:spcBef>
              <a:spcPts val="600"/>
            </a:spcBef>
            <a:spcAft>
              <a:spcPts val="600"/>
            </a:spcAft>
            <a:buNone/>
          </a:pPr>
          <a:r>
            <a:rPr lang="pt-PT" sz="1400" b="0" i="0" baseline="0">
              <a:solidFill>
                <a:schemeClr val="tx2"/>
              </a:solidFill>
              <a:latin typeface="Arial" panose="020B0604020202020204" pitchFamily="34" charset="0"/>
              <a:cs typeface="Arial" panose="020B0604020202020204" pitchFamily="34" charset="0"/>
            </a:rPr>
            <a:t>GEET cumpre o normativo The GHG Protocol e permite efetuar a quantificação das emissões de Âmbitos 1 &amp; 2 do estabelecimento. A estruturação dos dados e o algoritmo de cálculo de GEET estão em linha com a ferramenta HCMI (Hotel Carbon Measurement Initiative), pelo que os dados de inventário (inseridos na folha "DADOS_INVENTÁRIO") podem ser diretamente utilizados nessa ferramenta, em alternativa, para cálculo das emissões de GEE.</a:t>
          </a:r>
        </a:p>
        <a:p>
          <a:pPr marL="0" indent="0">
            <a:lnSpc>
              <a:spcPct val="100000"/>
            </a:lnSpc>
            <a:spcBef>
              <a:spcPts val="0"/>
            </a:spcBef>
            <a:buNone/>
          </a:pPr>
          <a:r>
            <a:rPr lang="pt-PT" sz="1400" b="0" i="0" baseline="0">
              <a:solidFill>
                <a:schemeClr val="tx2"/>
              </a:solidFill>
              <a:latin typeface="Arial" panose="020B0604020202020204" pitchFamily="34" charset="0"/>
              <a:cs typeface="Arial" panose="020B0604020202020204" pitchFamily="34" charset="0"/>
            </a:rPr>
            <a:t>O Guia que enquadra GEET, explicita a metodologia e os pressupostos adotados, bem como as fronteiras operacionais do inventário de emissões, recomendando-se a sua leitura, previamente à utilização da presente folha de cálculo.</a:t>
          </a:r>
        </a:p>
      </xdr:txBody>
    </xdr:sp>
    <xdr:clientData/>
  </xdr:twoCellAnchor>
  <xdr:twoCellAnchor editAs="oneCell">
    <xdr:from>
      <xdr:col>1</xdr:col>
      <xdr:colOff>0</xdr:colOff>
      <xdr:row>1</xdr:row>
      <xdr:rowOff>0</xdr:rowOff>
    </xdr:from>
    <xdr:to>
      <xdr:col>1</xdr:col>
      <xdr:colOff>1365250</xdr:colOff>
      <xdr:row>4</xdr:row>
      <xdr:rowOff>50115</xdr:rowOff>
    </xdr:to>
    <xdr:pic>
      <xdr:nvPicPr>
        <xdr:cNvPr id="3" name="Imagem 2">
          <a:extLst>
            <a:ext uri="{FF2B5EF4-FFF2-40B4-BE49-F238E27FC236}">
              <a16:creationId xmlns:a16="http://schemas.microsoft.com/office/drawing/2014/main" id="{79A5A005-C409-8A41-8CE6-FC8D3F0B54DD}"/>
            </a:ext>
          </a:extLst>
        </xdr:cNvPr>
        <xdr:cNvPicPr>
          <a:picLocks noChangeAspect="1"/>
        </xdr:cNvPicPr>
      </xdr:nvPicPr>
      <xdr:blipFill>
        <a:blip xmlns:r="http://schemas.openxmlformats.org/officeDocument/2006/relationships" r:embed="rId1"/>
        <a:stretch>
          <a:fillRect/>
        </a:stretch>
      </xdr:blipFill>
      <xdr:spPr>
        <a:xfrm>
          <a:off x="301625" y="206375"/>
          <a:ext cx="1365250" cy="669240"/>
        </a:xfrm>
        <a:prstGeom prst="rect">
          <a:avLst/>
        </a:prstGeom>
      </xdr:spPr>
    </xdr:pic>
    <xdr:clientData/>
  </xdr:twoCellAnchor>
  <xdr:twoCellAnchor editAs="oneCell">
    <xdr:from>
      <xdr:col>17</xdr:col>
      <xdr:colOff>75595</xdr:colOff>
      <xdr:row>10</xdr:row>
      <xdr:rowOff>182015</xdr:rowOff>
    </xdr:from>
    <xdr:to>
      <xdr:col>42</xdr:col>
      <xdr:colOff>783166</xdr:colOff>
      <xdr:row>53</xdr:row>
      <xdr:rowOff>129423</xdr:rowOff>
    </xdr:to>
    <xdr:pic>
      <xdr:nvPicPr>
        <xdr:cNvPr id="4" name="Imagem 3">
          <a:extLst>
            <a:ext uri="{FF2B5EF4-FFF2-40B4-BE49-F238E27FC236}">
              <a16:creationId xmlns:a16="http://schemas.microsoft.com/office/drawing/2014/main" id="{9CE14921-C0CF-D546-BCAB-BECF3F87929B}"/>
            </a:ext>
          </a:extLst>
        </xdr:cNvPr>
        <xdr:cNvPicPr>
          <a:picLocks noChangeAspect="1"/>
        </xdr:cNvPicPr>
      </xdr:nvPicPr>
      <xdr:blipFill>
        <a:blip xmlns:r="http://schemas.openxmlformats.org/officeDocument/2006/relationships" r:embed="rId2"/>
        <a:stretch>
          <a:fillRect/>
        </a:stretch>
      </xdr:blipFill>
      <xdr:spPr>
        <a:xfrm>
          <a:off x="14952738" y="2214015"/>
          <a:ext cx="21571857" cy="85289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6</xdr:row>
      <xdr:rowOff>38100</xdr:rowOff>
    </xdr:from>
    <xdr:to>
      <xdr:col>5</xdr:col>
      <xdr:colOff>50800</xdr:colOff>
      <xdr:row>15</xdr:row>
      <xdr:rowOff>114300</xdr:rowOff>
    </xdr:to>
    <xdr:sp macro="" textlink="">
      <xdr:nvSpPr>
        <xdr:cNvPr id="3" name="Text Placeholder 4">
          <a:extLst>
            <a:ext uri="{FF2B5EF4-FFF2-40B4-BE49-F238E27FC236}">
              <a16:creationId xmlns:a16="http://schemas.microsoft.com/office/drawing/2014/main" id="{99B4D0A2-7AC9-C346-A6D2-236C6ABAB43C}"/>
            </a:ext>
          </a:extLst>
        </xdr:cNvPr>
        <xdr:cNvSpPr txBox="1">
          <a:spLocks/>
        </xdr:cNvSpPr>
      </xdr:nvSpPr>
      <xdr:spPr>
        <a:xfrm>
          <a:off x="431800" y="1574800"/>
          <a:ext cx="12420600" cy="1905000"/>
        </a:xfrm>
        <a:prstGeom prst="rect">
          <a:avLst/>
        </a:prstGeom>
        <a:solidFill>
          <a:schemeClr val="bg1"/>
        </a:solidFill>
        <a:ln>
          <a:solidFill>
            <a:srgbClr val="2F5497"/>
          </a:solidFill>
        </a:ln>
      </xdr:spPr>
      <xdr:txBody>
        <a:bodyPr wrap="square" lIns="144000" tIns="144000" rIns="144000" bIns="144000">
          <a:noAutofit/>
        </a:bodyPr>
        <a:lstStyle>
          <a:defPPr>
            <a:defRPr lang="en-PT"/>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nSpc>
              <a:spcPct val="100000"/>
            </a:lnSpc>
            <a:spcBef>
              <a:spcPts val="0"/>
            </a:spcBef>
            <a:spcAft>
              <a:spcPts val="1800"/>
            </a:spcAft>
            <a:buNone/>
          </a:pPr>
          <a:r>
            <a:rPr lang="pt-PT" sz="1200" b="1" i="0" baseline="0">
              <a:solidFill>
                <a:srgbClr val="2F5497"/>
              </a:solidFill>
              <a:latin typeface="Arial Black" panose="020B0604020202020204" pitchFamily="34" charset="0"/>
              <a:cs typeface="Arial Black" panose="020B0604020202020204" pitchFamily="34" charset="0"/>
            </a:rPr>
            <a:t>SOBRE ESTA FOLHA</a:t>
          </a:r>
          <a:endParaRPr lang="pt-PT" sz="1200" b="0" i="0" baseline="0">
            <a:solidFill>
              <a:srgbClr val="2F5497"/>
            </a:solidFill>
            <a:latin typeface="Arial" panose="020B0604020202020204" pitchFamily="34" charset="0"/>
            <a:cs typeface="Arial" panose="020B0604020202020204" pitchFamily="34" charset="0"/>
          </a:endParaRPr>
        </a:p>
        <a:p>
          <a:pPr marL="0" indent="0">
            <a:lnSpc>
              <a:spcPct val="100000"/>
            </a:lnSpc>
            <a:spcBef>
              <a:spcPts val="0"/>
            </a:spcBef>
            <a:spcAft>
              <a:spcPts val="1200"/>
            </a:spcAft>
            <a:buNone/>
          </a:pPr>
          <a:r>
            <a:rPr lang="pt-PT" sz="1200" b="0" i="0" baseline="0">
              <a:solidFill>
                <a:schemeClr val="tx2"/>
              </a:solidFill>
              <a:latin typeface="Arial" panose="020B0604020202020204" pitchFamily="34" charset="0"/>
              <a:cs typeface="Arial" panose="020B0604020202020204" pitchFamily="34" charset="0"/>
            </a:rPr>
            <a:t>Esta folha opera como calculadora das emissões de GEE (ou pegada carbónica) de um cliente específico do estabelecimento, aplicando-se a clientes particulares e corporativos.</a:t>
          </a:r>
        </a:p>
        <a:p>
          <a:pPr marL="0" indent="0">
            <a:lnSpc>
              <a:spcPct val="100000"/>
            </a:lnSpc>
            <a:spcBef>
              <a:spcPts val="0"/>
            </a:spcBef>
            <a:spcAft>
              <a:spcPts val="1200"/>
            </a:spcAft>
            <a:buNone/>
          </a:pPr>
          <a:r>
            <a:rPr lang="pt-PT" sz="1200" b="0" i="0" baseline="0">
              <a:solidFill>
                <a:schemeClr val="tx2"/>
              </a:solidFill>
              <a:latin typeface="Arial" panose="020B0604020202020204" pitchFamily="34" charset="0"/>
              <a:cs typeface="Arial" panose="020B0604020202020204" pitchFamily="34" charset="0"/>
            </a:rPr>
            <a:t>São solicitados os dados do cliente, que caracterizam a sua estada/utilização do estabelecimento. Após a sua inserção, nas células sombreadas a cinzento na tabela de Dados, os resultados da sua pegada são automaticamente calculados, tendo por base a informação do inventário de emissões, e são disponibilizados na tabela de Resultados. Os resultados correspondem a valores médios, não permtindo distinguir, por ex., a tipologia da unidade de alojamento ocupada pelo cliente.</a:t>
          </a:r>
        </a:p>
        <a:p>
          <a:pPr marL="0" indent="0">
            <a:lnSpc>
              <a:spcPct val="100000"/>
            </a:lnSpc>
            <a:spcBef>
              <a:spcPts val="0"/>
            </a:spcBef>
            <a:spcAft>
              <a:spcPts val="1200"/>
            </a:spcAft>
            <a:buNone/>
          </a:pPr>
          <a:r>
            <a:rPr lang="pt-PT" sz="1200" b="0" i="0" baseline="0">
              <a:solidFill>
                <a:schemeClr val="tx2"/>
              </a:solidFill>
              <a:latin typeface="Arial" panose="020B0604020202020204" pitchFamily="34" charset="0"/>
              <a:cs typeface="Arial" panose="020B0604020202020204" pitchFamily="34" charset="0"/>
            </a:rPr>
            <a:t>Os resultados podem ser utilizados na comunicação com o cliente e, </a:t>
          </a:r>
          <a:r>
            <a:rPr lang="pt-PT" sz="1200" b="0" i="1" baseline="0">
              <a:solidFill>
                <a:schemeClr val="tx2"/>
              </a:solidFill>
              <a:latin typeface="Arial" panose="020B0604020202020204" pitchFamily="34" charset="0"/>
              <a:cs typeface="Arial" panose="020B0604020202020204" pitchFamily="34" charset="0"/>
            </a:rPr>
            <a:t>se aplicável</a:t>
          </a:r>
          <a:r>
            <a:rPr lang="pt-PT" sz="1200" b="0" i="0" baseline="0">
              <a:solidFill>
                <a:schemeClr val="tx2"/>
              </a:solidFill>
              <a:latin typeface="Arial" panose="020B0604020202020204" pitchFamily="34" charset="0"/>
              <a:cs typeface="Arial" panose="020B0604020202020204" pitchFamily="34" charset="0"/>
            </a:rPr>
            <a:t>, no contexto da compensação/neutralização de emissões.</a:t>
          </a:r>
          <a:endParaRPr lang="pt-PT" sz="1400" b="0" i="0" baseline="0">
            <a:solidFill>
              <a:schemeClr val="tx1"/>
            </a:solidFill>
            <a:latin typeface="Arial" panose="020B0604020202020204" pitchFamily="34" charset="0"/>
            <a:cs typeface="Arial" panose="020B0604020202020204" pitchFamily="34" charset="0"/>
          </a:endParaRPr>
        </a:p>
        <a:p>
          <a:pPr marL="0" indent="0">
            <a:lnSpc>
              <a:spcPct val="100000"/>
            </a:lnSpc>
            <a:spcBef>
              <a:spcPts val="0"/>
            </a:spcBef>
            <a:buNone/>
          </a:pPr>
          <a:endParaRPr lang="pt-PT" sz="1400" b="0" i="0" baseline="0">
            <a:solidFill>
              <a:schemeClr val="tx1"/>
            </a:solidFill>
            <a:latin typeface="Arial" panose="020B0604020202020204" pitchFamily="34" charset="0"/>
            <a:cs typeface="Arial" panose="020B0604020202020204" pitchFamily="34" charset="0"/>
          </a:endParaRPr>
        </a:p>
      </xdr:txBody>
    </xdr:sp>
    <xdr:clientData/>
  </xdr:twoCellAnchor>
  <xdr:twoCellAnchor editAs="oneCell">
    <xdr:from>
      <xdr:col>1</xdr:col>
      <xdr:colOff>127000</xdr:colOff>
      <xdr:row>1</xdr:row>
      <xdr:rowOff>76200</xdr:rowOff>
    </xdr:from>
    <xdr:to>
      <xdr:col>2</xdr:col>
      <xdr:colOff>1007110</xdr:colOff>
      <xdr:row>4</xdr:row>
      <xdr:rowOff>495300</xdr:rowOff>
    </xdr:to>
    <xdr:pic>
      <xdr:nvPicPr>
        <xdr:cNvPr id="2" name="Imagem 1">
          <a:extLst>
            <a:ext uri="{FF2B5EF4-FFF2-40B4-BE49-F238E27FC236}">
              <a16:creationId xmlns:a16="http://schemas.microsoft.com/office/drawing/2014/main" id="{5BED99BC-4EC2-5045-B8C3-C686D00977F8}"/>
            </a:ext>
          </a:extLst>
        </xdr:cNvPr>
        <xdr:cNvPicPr>
          <a:picLocks noChangeAspect="1"/>
        </xdr:cNvPicPr>
      </xdr:nvPicPr>
      <xdr:blipFill>
        <a:blip xmlns:r="http://schemas.openxmlformats.org/officeDocument/2006/relationships" r:embed="rId1"/>
        <a:stretch>
          <a:fillRect/>
        </a:stretch>
      </xdr:blipFill>
      <xdr:spPr>
        <a:xfrm>
          <a:off x="482600" y="279400"/>
          <a:ext cx="4432300" cy="1028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63500</xdr:colOff>
      <xdr:row>7</xdr:row>
      <xdr:rowOff>1</xdr:rowOff>
    </xdr:from>
    <xdr:to>
      <xdr:col>5</xdr:col>
      <xdr:colOff>12700</xdr:colOff>
      <xdr:row>14</xdr:row>
      <xdr:rowOff>177800</xdr:rowOff>
    </xdr:to>
    <xdr:sp macro="" textlink="">
      <xdr:nvSpPr>
        <xdr:cNvPr id="5" name="Text Placeholder 4">
          <a:extLst>
            <a:ext uri="{FF2B5EF4-FFF2-40B4-BE49-F238E27FC236}">
              <a16:creationId xmlns:a16="http://schemas.microsoft.com/office/drawing/2014/main" id="{9A5059AB-BFE7-1643-A9F8-43D3873704A5}"/>
            </a:ext>
          </a:extLst>
        </xdr:cNvPr>
        <xdr:cNvSpPr txBox="1">
          <a:spLocks/>
        </xdr:cNvSpPr>
      </xdr:nvSpPr>
      <xdr:spPr>
        <a:xfrm>
          <a:off x="419100" y="1308101"/>
          <a:ext cx="16675100" cy="1511299"/>
        </a:xfrm>
        <a:prstGeom prst="rect">
          <a:avLst/>
        </a:prstGeom>
        <a:solidFill>
          <a:schemeClr val="bg1"/>
        </a:solidFill>
        <a:ln>
          <a:solidFill>
            <a:srgbClr val="2F5497"/>
          </a:solidFill>
        </a:ln>
      </xdr:spPr>
      <xdr:txBody>
        <a:bodyPr wrap="square" lIns="144000" tIns="144000" rIns="144000" bIns="144000">
          <a:noAutofit/>
        </a:bodyPr>
        <a:lstStyle>
          <a:defPPr>
            <a:defRPr lang="en-PT"/>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l">
            <a:lnSpc>
              <a:spcPct val="100000"/>
            </a:lnSpc>
            <a:spcBef>
              <a:spcPts val="0"/>
            </a:spcBef>
            <a:spcAft>
              <a:spcPts val="1800"/>
            </a:spcAft>
            <a:buNone/>
          </a:pPr>
          <a:r>
            <a:rPr lang="pt-PT" sz="1200" b="1" i="0" baseline="0">
              <a:solidFill>
                <a:srgbClr val="2F5497"/>
              </a:solidFill>
              <a:latin typeface="Arial Black" panose="020B0604020202020204" pitchFamily="34" charset="0"/>
              <a:cs typeface="Arial Black" panose="020B0604020202020204" pitchFamily="34" charset="0"/>
            </a:rPr>
            <a:t>SOBRE ESTA FOLHA</a:t>
          </a:r>
          <a:endParaRPr lang="pt-PT" sz="1200" b="1" i="0" baseline="0">
            <a:solidFill>
              <a:srgbClr val="2F5497"/>
            </a:solidFill>
            <a:latin typeface="Arial" panose="020B0604020202020204" pitchFamily="34" charset="0"/>
            <a:cs typeface="Arial" panose="020B0604020202020204" pitchFamily="34" charset="0"/>
          </a:endParaRPr>
        </a:p>
        <a:p>
          <a:pPr marL="0" indent="0" algn="l">
            <a:lnSpc>
              <a:spcPct val="100000"/>
            </a:lnSpc>
            <a:spcBef>
              <a:spcPts val="0"/>
            </a:spcBef>
            <a:spcAft>
              <a:spcPts val="1200"/>
            </a:spcAft>
            <a:buNone/>
          </a:pPr>
          <a:r>
            <a:rPr lang="pt-PT" sz="1200" b="0" i="0" baseline="0">
              <a:solidFill>
                <a:schemeClr val="tx2"/>
              </a:solidFill>
              <a:latin typeface="Arial" panose="020B0604020202020204" pitchFamily="34" charset="0"/>
              <a:cs typeface="Arial" panose="020B0604020202020204" pitchFamily="34" charset="0"/>
            </a:rPr>
            <a:t>Esta é uma folha exclusivamente de consulta, onde encontra as emissões de GEE (Âmbitos 1 &amp; 2) do estabelecimento no ano de reporte definido em "DADOS_INVENTÁRIO", e o peso relativo do consumo de energia renovável, nesse mesmo ano. </a:t>
          </a:r>
        </a:p>
        <a:p>
          <a:pPr marL="0" indent="0" algn="l">
            <a:lnSpc>
              <a:spcPct val="100000"/>
            </a:lnSpc>
            <a:spcBef>
              <a:spcPts val="0"/>
            </a:spcBef>
            <a:spcAft>
              <a:spcPts val="1200"/>
            </a:spcAft>
            <a:buNone/>
          </a:pPr>
          <a:r>
            <a:rPr lang="pt-PT" sz="1200" b="0" i="0" baseline="0">
              <a:solidFill>
                <a:schemeClr val="tx2"/>
              </a:solidFill>
              <a:latin typeface="Arial" panose="020B0604020202020204" pitchFamily="34" charset="0"/>
              <a:cs typeface="Arial" panose="020B0604020202020204" pitchFamily="34" charset="0"/>
            </a:rPr>
            <a:t>Previamente à consulta dos resultados, por favor, confirme que a folha "DADOS_INVENTÁRIO" não contém erros ou omissões; a qualidade dos resultados é função direta do rigor dos dados de base reportados.</a:t>
          </a:r>
        </a:p>
      </xdr:txBody>
    </xdr:sp>
    <xdr:clientData/>
  </xdr:twoCellAnchor>
  <xdr:twoCellAnchor editAs="oneCell">
    <xdr:from>
      <xdr:col>1</xdr:col>
      <xdr:colOff>59767</xdr:colOff>
      <xdr:row>1</xdr:row>
      <xdr:rowOff>49306</xdr:rowOff>
    </xdr:from>
    <xdr:to>
      <xdr:col>3</xdr:col>
      <xdr:colOff>972971</xdr:colOff>
      <xdr:row>4</xdr:row>
      <xdr:rowOff>499035</xdr:rowOff>
    </xdr:to>
    <xdr:pic>
      <xdr:nvPicPr>
        <xdr:cNvPr id="2" name="Imagem 1">
          <a:extLst>
            <a:ext uri="{FF2B5EF4-FFF2-40B4-BE49-F238E27FC236}">
              <a16:creationId xmlns:a16="http://schemas.microsoft.com/office/drawing/2014/main" id="{5DF8E9A2-812F-AA4E-B060-309144B40BBD}"/>
            </a:ext>
          </a:extLst>
        </xdr:cNvPr>
        <xdr:cNvPicPr>
          <a:picLocks noChangeAspect="1"/>
        </xdr:cNvPicPr>
      </xdr:nvPicPr>
      <xdr:blipFill>
        <a:blip xmlns:r="http://schemas.openxmlformats.org/officeDocument/2006/relationships" r:embed="rId1"/>
        <a:stretch>
          <a:fillRect/>
        </a:stretch>
      </xdr:blipFill>
      <xdr:spPr>
        <a:xfrm>
          <a:off x="415367" y="252506"/>
          <a:ext cx="6181164" cy="10593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554180</xdr:colOff>
      <xdr:row>217</xdr:row>
      <xdr:rowOff>0</xdr:rowOff>
    </xdr:from>
    <xdr:to>
      <xdr:col>7</xdr:col>
      <xdr:colOff>56443</xdr:colOff>
      <xdr:row>243</xdr:row>
      <xdr:rowOff>70555</xdr:rowOff>
    </xdr:to>
    <xdr:sp macro="" textlink="">
      <xdr:nvSpPr>
        <xdr:cNvPr id="5" name="Text Placeholder 4">
          <a:extLst>
            <a:ext uri="{FF2B5EF4-FFF2-40B4-BE49-F238E27FC236}">
              <a16:creationId xmlns:a16="http://schemas.microsoft.com/office/drawing/2014/main" id="{A999B65C-D040-B149-8538-66E67ED949A9}"/>
            </a:ext>
          </a:extLst>
        </xdr:cNvPr>
        <xdr:cNvSpPr txBox="1">
          <a:spLocks/>
        </xdr:cNvSpPr>
      </xdr:nvSpPr>
      <xdr:spPr>
        <a:xfrm>
          <a:off x="906958" y="43335222"/>
          <a:ext cx="19667041" cy="5207000"/>
        </a:xfrm>
        <a:prstGeom prst="rect">
          <a:avLst/>
        </a:prstGeom>
        <a:solidFill>
          <a:schemeClr val="bg1"/>
        </a:solidFill>
        <a:ln>
          <a:solidFill>
            <a:srgbClr val="2F5497"/>
          </a:solidFill>
        </a:ln>
      </xdr:spPr>
      <xdr:txBody>
        <a:bodyPr wrap="square" lIns="144000" tIns="144000" rIns="144000" bIns="144000">
          <a:noAutofit/>
        </a:bodyPr>
        <a:lstStyle>
          <a:defPPr>
            <a:defRPr lang="en-PT"/>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nSpc>
              <a:spcPct val="100000"/>
            </a:lnSpc>
            <a:spcBef>
              <a:spcPts val="0"/>
            </a:spcBef>
            <a:spcAft>
              <a:spcPts val="1800"/>
            </a:spcAft>
            <a:buNone/>
          </a:pPr>
          <a:r>
            <a:rPr lang="pt-PT" sz="1200" b="1" i="0" baseline="0">
              <a:solidFill>
                <a:srgbClr val="2F5497"/>
              </a:solidFill>
              <a:latin typeface="Arial Black" panose="020B0604020202020204" pitchFamily="34" charset="0"/>
              <a:cs typeface="Arial Black" panose="020B0604020202020204" pitchFamily="34" charset="0"/>
            </a:rPr>
            <a:t>SOBRE ESTA FOLHA</a:t>
          </a:r>
        </a:p>
        <a:p>
          <a:pPr marL="0" indent="0">
            <a:lnSpc>
              <a:spcPct val="100000"/>
            </a:lnSpc>
            <a:spcBef>
              <a:spcPts val="0"/>
            </a:spcBef>
            <a:spcAft>
              <a:spcPts val="1200"/>
            </a:spcAft>
            <a:buNone/>
          </a:pPr>
          <a:r>
            <a:rPr lang="pt-PT" sz="1200" b="0" i="0" baseline="0">
              <a:solidFill>
                <a:schemeClr val="tx2"/>
              </a:solidFill>
              <a:latin typeface="Arial" panose="020B0604020202020204" pitchFamily="34" charset="0"/>
              <a:cs typeface="Arial" panose="020B0604020202020204" pitchFamily="34" charset="0"/>
            </a:rPr>
            <a:t>Esta folha reúne os dados necessários à elaboração do inventário anual das emissões de GEE (Âmbitos 1 &amp; 2) de um determinado estabelecimento e constitui a folha fundamental do GEET. </a:t>
          </a:r>
        </a:p>
        <a:p>
          <a:pPr marL="0" indent="0">
            <a:lnSpc>
              <a:spcPct val="100000"/>
            </a:lnSpc>
            <a:spcBef>
              <a:spcPts val="0"/>
            </a:spcBef>
            <a:spcAft>
              <a:spcPts val="600"/>
            </a:spcAft>
            <a:buNone/>
          </a:pPr>
          <a:r>
            <a:rPr lang="pt-PT" sz="1200" b="0" i="0" baseline="0">
              <a:solidFill>
                <a:schemeClr val="tx2"/>
              </a:solidFill>
              <a:latin typeface="Arial" panose="020B0604020202020204" pitchFamily="34" charset="0"/>
              <a:cs typeface="Arial" panose="020B0604020202020204" pitchFamily="34" charset="0"/>
            </a:rPr>
            <a:t>Os dados encontram-se organizados por: </a:t>
          </a:r>
        </a:p>
        <a:p>
          <a:pPr marL="457200" lvl="1" indent="0">
            <a:lnSpc>
              <a:spcPct val="100000"/>
            </a:lnSpc>
            <a:spcBef>
              <a:spcPts val="0"/>
            </a:spcBef>
            <a:spcAft>
              <a:spcPts val="600"/>
            </a:spcAft>
            <a:buNone/>
          </a:pPr>
          <a:r>
            <a:rPr lang="pt-PT" sz="1200" b="0" i="0" baseline="0">
              <a:solidFill>
                <a:schemeClr val="tx2"/>
              </a:solidFill>
              <a:latin typeface="Arial" panose="020B0604020202020204" pitchFamily="34" charset="0"/>
              <a:cs typeface="Arial" panose="020B0604020202020204" pitchFamily="34" charset="0"/>
            </a:rPr>
            <a:t>A. dados sobre o estabelecimento; </a:t>
          </a:r>
        </a:p>
        <a:p>
          <a:pPr marL="457200" lvl="1" indent="0">
            <a:lnSpc>
              <a:spcPct val="100000"/>
            </a:lnSpc>
            <a:spcBef>
              <a:spcPts val="0"/>
            </a:spcBef>
            <a:spcAft>
              <a:spcPts val="600"/>
            </a:spcAft>
            <a:buNone/>
          </a:pPr>
          <a:r>
            <a:rPr lang="pt-PT" sz="1200" b="0" i="0" baseline="0">
              <a:solidFill>
                <a:schemeClr val="tx2"/>
              </a:solidFill>
              <a:latin typeface="Arial" panose="020B0604020202020204" pitchFamily="34" charset="0"/>
              <a:cs typeface="Arial" panose="020B0604020202020204" pitchFamily="34" charset="0"/>
            </a:rPr>
            <a:t>B. dados sobre a atividade do estabelecimento, no ano de reporte; </a:t>
          </a:r>
        </a:p>
        <a:p>
          <a:pPr marL="457200" lvl="1" indent="0">
            <a:lnSpc>
              <a:spcPct val="100000"/>
            </a:lnSpc>
            <a:spcBef>
              <a:spcPts val="0"/>
            </a:spcBef>
            <a:spcAft>
              <a:spcPts val="600"/>
            </a:spcAft>
            <a:buNone/>
          </a:pPr>
          <a:r>
            <a:rPr lang="pt-PT" sz="1200" b="0" i="0" baseline="0">
              <a:solidFill>
                <a:schemeClr val="tx2"/>
              </a:solidFill>
              <a:latin typeface="Arial" panose="020B0604020202020204" pitchFamily="34" charset="0"/>
              <a:cs typeface="Arial" panose="020B0604020202020204" pitchFamily="34" charset="0"/>
            </a:rPr>
            <a:t>C. dados sobre fontes de emissão (combustão fixa, combustão móvel, consumo de eletricidade e emissões fugitivas), no ano de reporte;</a:t>
          </a:r>
        </a:p>
        <a:p>
          <a:pPr marL="457200" lvl="1" indent="0">
            <a:lnSpc>
              <a:spcPct val="100000"/>
            </a:lnSpc>
            <a:spcBef>
              <a:spcPts val="0"/>
            </a:spcBef>
            <a:spcAft>
              <a:spcPts val="600"/>
            </a:spcAft>
            <a:buNone/>
          </a:pPr>
          <a:r>
            <a:rPr lang="pt-PT" sz="1200" b="0" i="0" baseline="0">
              <a:solidFill>
                <a:schemeClr val="tx2"/>
              </a:solidFill>
              <a:latin typeface="Arial" panose="020B0604020202020204" pitchFamily="34" charset="0"/>
              <a:cs typeface="Arial" panose="020B0604020202020204" pitchFamily="34" charset="0"/>
            </a:rPr>
            <a:t>D. dados sobre o consumo de energia renovável, no ano de reporte;</a:t>
          </a:r>
        </a:p>
        <a:p>
          <a:pPr marL="457200" lvl="1" indent="0">
            <a:lnSpc>
              <a:spcPct val="100000"/>
            </a:lnSpc>
            <a:spcBef>
              <a:spcPts val="0"/>
            </a:spcBef>
            <a:spcAft>
              <a:spcPts val="600"/>
            </a:spcAft>
            <a:buNone/>
          </a:pPr>
          <a:r>
            <a:rPr lang="pt-PT" sz="1200" b="0" i="0" baseline="0">
              <a:solidFill>
                <a:schemeClr val="tx2"/>
              </a:solidFill>
              <a:latin typeface="Arial" panose="020B0604020202020204" pitchFamily="34" charset="0"/>
              <a:cs typeface="Arial" panose="020B0604020202020204" pitchFamily="34" charset="0"/>
            </a:rPr>
            <a:t>E. outros dados sobre fontes de emissão (espaços reservados, lavandaria e gases fluorados), no período de reporte;</a:t>
          </a:r>
        </a:p>
        <a:p>
          <a:pPr marL="457200" lvl="1" indent="0">
            <a:lnSpc>
              <a:spcPct val="100000"/>
            </a:lnSpc>
            <a:spcBef>
              <a:spcPts val="0"/>
            </a:spcBef>
            <a:spcAft>
              <a:spcPts val="600"/>
            </a:spcAft>
            <a:buNone/>
          </a:pPr>
          <a:r>
            <a:rPr lang="pt-PT" sz="1200" b="0" i="0" baseline="0">
              <a:solidFill>
                <a:schemeClr val="tx2"/>
              </a:solidFill>
              <a:latin typeface="Arial" panose="020B0604020202020204" pitchFamily="34" charset="0"/>
              <a:cs typeface="Arial" panose="020B0604020202020204" pitchFamily="34" charset="0"/>
            </a:rPr>
            <a:t>F. fatores de emissão.</a:t>
          </a:r>
        </a:p>
        <a:p>
          <a:pPr marL="0" indent="0">
            <a:lnSpc>
              <a:spcPct val="100000"/>
            </a:lnSpc>
            <a:spcBef>
              <a:spcPts val="0"/>
            </a:spcBef>
            <a:spcAft>
              <a:spcPts val="600"/>
            </a:spcAft>
            <a:buNone/>
          </a:pPr>
          <a:r>
            <a:rPr lang="pt-PT" sz="1200" b="0" i="0" baseline="0">
              <a:solidFill>
                <a:schemeClr val="tx2"/>
              </a:solidFill>
              <a:latin typeface="Arial" panose="020B0604020202020204" pitchFamily="34" charset="0"/>
              <a:cs typeface="Arial" panose="020B0604020202020204" pitchFamily="34" charset="0"/>
            </a:rPr>
            <a:t>São assumidos os seguintes pressupostos gerais no tratamento dos dados:</a:t>
          </a:r>
        </a:p>
        <a:p>
          <a:pPr marL="0" indent="0">
            <a:lnSpc>
              <a:spcPct val="100000"/>
            </a:lnSpc>
            <a:spcBef>
              <a:spcPts val="0"/>
            </a:spcBef>
            <a:spcAft>
              <a:spcPts val="600"/>
            </a:spcAft>
            <a:buNone/>
          </a:pPr>
          <a:r>
            <a:rPr lang="pt-PT" sz="1200" b="0" i="0" baseline="0">
              <a:solidFill>
                <a:schemeClr val="tx2"/>
              </a:solidFill>
              <a:latin typeface="Arial" panose="020B0604020202020204" pitchFamily="34" charset="0"/>
              <a:cs typeface="Arial" panose="020B0604020202020204" pitchFamily="34" charset="0"/>
            </a:rPr>
            <a:t>i. os dados relativos a unidades de alojamento ou reuniões/eventos são exclusivamente condicionados pela relação direta entre as áreas totais respetivas;</a:t>
          </a:r>
        </a:p>
        <a:p>
          <a:pPr marL="0" indent="0">
            <a:lnSpc>
              <a:spcPct val="100000"/>
            </a:lnSpc>
            <a:spcBef>
              <a:spcPts val="0"/>
            </a:spcBef>
            <a:spcAft>
              <a:spcPts val="600"/>
            </a:spcAft>
            <a:buNone/>
          </a:pPr>
          <a:r>
            <a:rPr lang="pt-PT" sz="1200" b="0" i="0" baseline="0">
              <a:solidFill>
                <a:schemeClr val="tx2"/>
              </a:solidFill>
              <a:latin typeface="Arial" panose="020B0604020202020204" pitchFamily="34" charset="0"/>
              <a:cs typeface="Arial" panose="020B0604020202020204" pitchFamily="34" charset="0"/>
            </a:rPr>
            <a:t>ii. os consumos de energia afetos a espaços reservados (quando não haja medição parcial disponível) são subtraídos aos consumos totais do estabelecimento na proporção das respetivas áreas (condicionada total e de espaços reservados); o mesmo se aplica à produção de energia para autoconsumo e à compra específica de energia elétrica de origem renovável;</a:t>
          </a:r>
        </a:p>
        <a:p>
          <a:pPr marL="0" indent="0">
            <a:lnSpc>
              <a:spcPct val="100000"/>
            </a:lnSpc>
            <a:spcBef>
              <a:spcPts val="0"/>
            </a:spcBef>
            <a:spcAft>
              <a:spcPts val="600"/>
            </a:spcAft>
            <a:buNone/>
          </a:pPr>
          <a:r>
            <a:rPr lang="pt-PT" sz="1200" b="0" i="0" baseline="0">
              <a:solidFill>
                <a:schemeClr val="tx2"/>
              </a:solidFill>
              <a:latin typeface="Arial" panose="020B0604020202020204" pitchFamily="34" charset="0"/>
              <a:cs typeface="Arial" panose="020B0604020202020204" pitchFamily="34" charset="0"/>
            </a:rPr>
            <a:t>iii. a energia elétrica de origem renovável comprada pelo estabelecimento integra o consumo total de eletricidade do estabelecimento (C1) e também deve ser objeto de reporte individualizado (em D1). Considera-se a compra específica de energia elétrica de origem renovável suportada numa relação contratual que explícite expressamente que toda a energia elétrica fornecida é de origem renovável e está certificada por certificados de garantias de origem (GO) na posse do comercializador;</a:t>
          </a:r>
        </a:p>
        <a:p>
          <a:pPr marL="0" indent="0">
            <a:lnSpc>
              <a:spcPct val="100000"/>
            </a:lnSpc>
            <a:spcBef>
              <a:spcPts val="0"/>
            </a:spcBef>
            <a:spcAft>
              <a:spcPts val="1200"/>
            </a:spcAft>
            <a:buNone/>
          </a:pPr>
          <a:r>
            <a:rPr lang="pt-PT" sz="1200" b="0" i="0" baseline="0">
              <a:solidFill>
                <a:schemeClr val="tx2"/>
              </a:solidFill>
              <a:latin typeface="Arial" panose="020B0604020202020204" pitchFamily="34" charset="0"/>
              <a:cs typeface="Arial" panose="020B0604020202020204" pitchFamily="34" charset="0"/>
            </a:rPr>
            <a:t>iv. quando se verifique a utilização dos serviços de uma lavandaria externa e não se encontram disponíveis  dados sobre os consumos específicos dessa unidade (não controlada pelo estabelecimento), os consumos considerados por defeito (eletricidade, gás natural e gasóleo) são os utilizados na ferramenta HCMI.</a:t>
          </a:r>
        </a:p>
        <a:p>
          <a:pPr marL="0" indent="0">
            <a:lnSpc>
              <a:spcPct val="100000"/>
            </a:lnSpc>
            <a:spcBef>
              <a:spcPts val="0"/>
            </a:spcBef>
            <a:spcAft>
              <a:spcPts val="1200"/>
            </a:spcAft>
            <a:buNone/>
          </a:pPr>
          <a:r>
            <a:rPr lang="pt-PT" sz="1200" b="0" i="0" baseline="0">
              <a:solidFill>
                <a:schemeClr val="tx2"/>
              </a:solidFill>
              <a:latin typeface="Arial" panose="020B0604020202020204" pitchFamily="34" charset="0"/>
              <a:cs typeface="Arial" panose="020B0604020202020204" pitchFamily="34" charset="0"/>
            </a:rPr>
            <a:t>Esta folha deve ser preenchida com todos os dados de base solicitados para o ano de reporte, seguindo as instruções que constam na mesma; omissões de dados inviabilizam o cálculo das emissões.</a:t>
          </a:r>
        </a:p>
        <a:p>
          <a:pPr marL="0" indent="0">
            <a:lnSpc>
              <a:spcPct val="100000"/>
            </a:lnSpc>
            <a:spcBef>
              <a:spcPts val="0"/>
            </a:spcBef>
            <a:buNone/>
          </a:pPr>
          <a:r>
            <a:rPr lang="pt-PT" sz="1200" b="0" i="0" baseline="0">
              <a:solidFill>
                <a:schemeClr val="tx2"/>
              </a:solidFill>
              <a:latin typeface="Arial" panose="020B0604020202020204" pitchFamily="34" charset="0"/>
              <a:cs typeface="Arial" panose="020B0604020202020204" pitchFamily="34" charset="0"/>
            </a:rPr>
            <a:t>Pode utilizar a informação aqui sistematizada para preencher a ferramenta HCMI, caso essa ferramenta seja a S/ opção para cálculo das emissões de GEE.</a:t>
          </a:r>
        </a:p>
      </xdr:txBody>
    </xdr:sp>
    <xdr:clientData/>
  </xdr:twoCellAnchor>
  <xdr:twoCellAnchor editAs="oneCell">
    <xdr:from>
      <xdr:col>1</xdr:col>
      <xdr:colOff>28221</xdr:colOff>
      <xdr:row>1</xdr:row>
      <xdr:rowOff>42333</xdr:rowOff>
    </xdr:from>
    <xdr:to>
      <xdr:col>3</xdr:col>
      <xdr:colOff>743231</xdr:colOff>
      <xdr:row>5</xdr:row>
      <xdr:rowOff>20391</xdr:rowOff>
    </xdr:to>
    <xdr:pic>
      <xdr:nvPicPr>
        <xdr:cNvPr id="3" name="Imagem 2">
          <a:extLst>
            <a:ext uri="{FF2B5EF4-FFF2-40B4-BE49-F238E27FC236}">
              <a16:creationId xmlns:a16="http://schemas.microsoft.com/office/drawing/2014/main" id="{515746E0-1849-5C4D-90AC-A404F828A3B2}"/>
            </a:ext>
          </a:extLst>
        </xdr:cNvPr>
        <xdr:cNvPicPr>
          <a:picLocks noChangeAspect="1"/>
        </xdr:cNvPicPr>
      </xdr:nvPicPr>
      <xdr:blipFill>
        <a:blip xmlns:r="http://schemas.openxmlformats.org/officeDocument/2006/relationships" r:embed="rId1"/>
        <a:stretch>
          <a:fillRect/>
        </a:stretch>
      </xdr:blipFill>
      <xdr:spPr>
        <a:xfrm>
          <a:off x="380999" y="239889"/>
          <a:ext cx="5410200" cy="10795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520700</xdr:colOff>
      <xdr:row>15</xdr:row>
      <xdr:rowOff>190500</xdr:rowOff>
    </xdr:from>
    <xdr:to>
      <xdr:col>1</xdr:col>
      <xdr:colOff>477520</xdr:colOff>
      <xdr:row>17</xdr:row>
      <xdr:rowOff>20320</xdr:rowOff>
    </xdr:to>
    <xdr:pic>
      <xdr:nvPicPr>
        <xdr:cNvPr id="3" name="Imagem 2">
          <a:extLst>
            <a:ext uri="{FF2B5EF4-FFF2-40B4-BE49-F238E27FC236}">
              <a16:creationId xmlns:a16="http://schemas.microsoft.com/office/drawing/2014/main" id="{BCA944B8-5847-8E4D-8F89-EAB09253D592}"/>
            </a:ext>
          </a:extLst>
        </xdr:cNvPr>
        <xdr:cNvPicPr>
          <a:picLocks noChangeAspect="1"/>
        </xdr:cNvPicPr>
      </xdr:nvPicPr>
      <xdr:blipFill>
        <a:blip xmlns:r="http://schemas.openxmlformats.org/officeDocument/2006/relationships" r:embed="rId1"/>
        <a:stretch>
          <a:fillRect/>
        </a:stretch>
      </xdr:blipFill>
      <xdr:spPr>
        <a:xfrm>
          <a:off x="520700" y="3213100"/>
          <a:ext cx="647700" cy="342900"/>
        </a:xfrm>
        <a:prstGeom prst="rect">
          <a:avLst/>
        </a:prstGeom>
      </xdr:spPr>
    </xdr:pic>
    <xdr:clientData/>
  </xdr:twoCellAnchor>
  <xdr:twoCellAnchor editAs="oneCell">
    <xdr:from>
      <xdr:col>0</xdr:col>
      <xdr:colOff>571500</xdr:colOff>
      <xdr:row>33</xdr:row>
      <xdr:rowOff>88900</xdr:rowOff>
    </xdr:from>
    <xdr:to>
      <xdr:col>1</xdr:col>
      <xdr:colOff>398780</xdr:colOff>
      <xdr:row>35</xdr:row>
      <xdr:rowOff>96520</xdr:rowOff>
    </xdr:to>
    <xdr:pic>
      <xdr:nvPicPr>
        <xdr:cNvPr id="6" name="Imagem 5">
          <a:extLst>
            <a:ext uri="{FF2B5EF4-FFF2-40B4-BE49-F238E27FC236}">
              <a16:creationId xmlns:a16="http://schemas.microsoft.com/office/drawing/2014/main" id="{41914C5C-4C83-4B49-BA5E-960E6703D60E}"/>
            </a:ext>
          </a:extLst>
        </xdr:cNvPr>
        <xdr:cNvPicPr>
          <a:picLocks noChangeAspect="1"/>
        </xdr:cNvPicPr>
      </xdr:nvPicPr>
      <xdr:blipFill>
        <a:blip xmlns:r="http://schemas.openxmlformats.org/officeDocument/2006/relationships" r:embed="rId2"/>
        <a:stretch>
          <a:fillRect/>
        </a:stretch>
      </xdr:blipFill>
      <xdr:spPr>
        <a:xfrm>
          <a:off x="571500" y="8839200"/>
          <a:ext cx="533400" cy="520700"/>
        </a:xfrm>
        <a:prstGeom prst="rect">
          <a:avLst/>
        </a:prstGeom>
      </xdr:spPr>
    </xdr:pic>
    <xdr:clientData/>
  </xdr:twoCellAnchor>
  <xdr:twoCellAnchor>
    <xdr:from>
      <xdr:col>1</xdr:col>
      <xdr:colOff>520700</xdr:colOff>
      <xdr:row>80</xdr:row>
      <xdr:rowOff>25398</xdr:rowOff>
    </xdr:from>
    <xdr:to>
      <xdr:col>5</xdr:col>
      <xdr:colOff>7137400</xdr:colOff>
      <xdr:row>117</xdr:row>
      <xdr:rowOff>126999</xdr:rowOff>
    </xdr:to>
    <xdr:sp macro="" textlink="">
      <xdr:nvSpPr>
        <xdr:cNvPr id="8" name="Text Placeholder 4">
          <a:extLst>
            <a:ext uri="{FF2B5EF4-FFF2-40B4-BE49-F238E27FC236}">
              <a16:creationId xmlns:a16="http://schemas.microsoft.com/office/drawing/2014/main" id="{A8CB8A5B-3841-804C-BACF-363C2C109E95}"/>
            </a:ext>
          </a:extLst>
        </xdr:cNvPr>
        <xdr:cNvSpPr txBox="1">
          <a:spLocks/>
        </xdr:cNvSpPr>
      </xdr:nvSpPr>
      <xdr:spPr>
        <a:xfrm>
          <a:off x="1219200" y="30746698"/>
          <a:ext cx="13563600" cy="7620001"/>
        </a:xfrm>
        <a:prstGeom prst="rect">
          <a:avLst/>
        </a:prstGeom>
        <a:ln>
          <a:solidFill>
            <a:srgbClr val="2F5497"/>
          </a:solidFill>
        </a:ln>
      </xdr:spPr>
      <xdr:txBody>
        <a:bodyPr wrap="square" lIns="144000" tIns="144000" rIns="144000" bIns="144000">
          <a:noAutofit/>
        </a:bodyPr>
        <a:lstStyle>
          <a:defPPr>
            <a:defRPr lang="en-PT"/>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nSpc>
              <a:spcPct val="100000"/>
            </a:lnSpc>
            <a:spcBef>
              <a:spcPts val="0"/>
            </a:spcBef>
            <a:spcAft>
              <a:spcPts val="1800"/>
            </a:spcAft>
            <a:buNone/>
          </a:pPr>
          <a:r>
            <a:rPr lang="pt-PT" sz="1200" b="1" i="0" baseline="0">
              <a:solidFill>
                <a:srgbClr val="2F5497"/>
              </a:solidFill>
              <a:latin typeface="Arial Black" panose="020B0604020202020204" pitchFamily="34" charset="0"/>
              <a:cs typeface="Arial Black" panose="020B0604020202020204" pitchFamily="34" charset="0"/>
            </a:rPr>
            <a:t>SOBRE ESTA FOLHA</a:t>
          </a:r>
          <a:endParaRPr lang="pt-PT" sz="1200" b="0" i="0" baseline="0">
            <a:solidFill>
              <a:srgbClr val="2F5497"/>
            </a:solidFill>
            <a:latin typeface="Arial" panose="020B0604020202020204" pitchFamily="34" charset="0"/>
            <a:cs typeface="Arial" panose="020B0604020202020204" pitchFamily="34" charset="0"/>
          </a:endParaRPr>
        </a:p>
        <a:p>
          <a:pPr marL="0" indent="0">
            <a:lnSpc>
              <a:spcPct val="100000"/>
            </a:lnSpc>
            <a:spcBef>
              <a:spcPts val="0"/>
            </a:spcBef>
            <a:spcAft>
              <a:spcPts val="600"/>
            </a:spcAft>
            <a:buNone/>
          </a:pPr>
          <a:r>
            <a:rPr lang="pt-PT" sz="1200" b="0" i="0" baseline="0">
              <a:solidFill>
                <a:schemeClr val="tx2"/>
              </a:solidFill>
              <a:latin typeface="Arial" panose="020B0604020202020204" pitchFamily="34" charset="0"/>
              <a:cs typeface="Arial" panose="020B0604020202020204" pitchFamily="34" charset="0"/>
            </a:rPr>
            <a:t>Esta folha apoia o estabelecimento turístico na realização de um exercício simplificado de projeção das suas emissões de GEE (Âmbitos 1 &amp; 2) para o horizonte 2030, nos cenários:</a:t>
          </a:r>
        </a:p>
        <a:p>
          <a:pPr marL="0" indent="0">
            <a:lnSpc>
              <a:spcPct val="100000"/>
            </a:lnSpc>
            <a:spcBef>
              <a:spcPts val="0"/>
            </a:spcBef>
            <a:spcAft>
              <a:spcPts val="600"/>
            </a:spcAft>
            <a:buNone/>
          </a:pPr>
          <a:r>
            <a:rPr lang="pt-PT" sz="1400" b="1" i="0" baseline="0">
              <a:solidFill>
                <a:srgbClr val="FF7E79"/>
              </a:solidFill>
              <a:latin typeface="Arial" panose="020B0604020202020204" pitchFamily="34" charset="0"/>
              <a:cs typeface="Arial" panose="020B0604020202020204" pitchFamily="34" charset="0"/>
            </a:rPr>
            <a:t>I. Business-as-usual (BAU)</a:t>
          </a:r>
          <a:r>
            <a:rPr lang="pt-PT" sz="1200" b="0" i="0" baseline="0">
              <a:solidFill>
                <a:schemeClr val="tx2"/>
              </a:solidFill>
              <a:latin typeface="Arial" panose="020B0604020202020204" pitchFamily="34" charset="0"/>
              <a:cs typeface="Arial" panose="020B0604020202020204" pitchFamily="34" charset="0"/>
            </a:rPr>
            <a:t>, i.e., sem a implementação de medidas de redução de emissões. </a:t>
          </a:r>
        </a:p>
        <a:p>
          <a:pPr marL="0" indent="0">
            <a:lnSpc>
              <a:spcPct val="100000"/>
            </a:lnSpc>
            <a:spcBef>
              <a:spcPts val="0"/>
            </a:spcBef>
            <a:spcAft>
              <a:spcPts val="1200"/>
            </a:spcAft>
            <a:buNone/>
          </a:pPr>
          <a:r>
            <a:rPr lang="pt-PT" sz="1200" b="0" i="0" baseline="0">
              <a:solidFill>
                <a:schemeClr val="tx2"/>
              </a:solidFill>
              <a:latin typeface="Arial" panose="020B0604020202020204" pitchFamily="34" charset="0"/>
              <a:cs typeface="Arial" panose="020B0604020202020204" pitchFamily="34" charset="0"/>
            </a:rPr>
            <a:t>Neste cenário, assume-se a (eventual) alteração da intensidade da atividade do estabelecimento (face ao reportado no inventário de emissões) e a alteração dos fatores de emissão da eletricidade, em linha com o processo de descarbonização preconizado para a economia nacional.</a:t>
          </a:r>
        </a:p>
        <a:p>
          <a:pPr marL="0" indent="0">
            <a:lnSpc>
              <a:spcPct val="100000"/>
            </a:lnSpc>
            <a:spcBef>
              <a:spcPts val="0"/>
            </a:spcBef>
            <a:spcAft>
              <a:spcPts val="600"/>
            </a:spcAft>
            <a:buNone/>
          </a:pPr>
          <a:r>
            <a:rPr lang="pt-PT" sz="1200" b="0" i="0" baseline="0">
              <a:solidFill>
                <a:schemeClr val="tx2"/>
              </a:solidFill>
              <a:latin typeface="Arial" panose="020B0604020202020204" pitchFamily="34" charset="0"/>
              <a:cs typeface="Arial" panose="020B0604020202020204" pitchFamily="34" charset="0"/>
            </a:rPr>
            <a:t>São assumidos os seguintes pressupostos:</a:t>
          </a:r>
        </a:p>
        <a:p>
          <a:pPr marL="0" indent="0">
            <a:lnSpc>
              <a:spcPct val="100000"/>
            </a:lnSpc>
            <a:spcBef>
              <a:spcPts val="0"/>
            </a:spcBef>
            <a:spcAft>
              <a:spcPts val="600"/>
            </a:spcAft>
            <a:buNone/>
          </a:pPr>
          <a:r>
            <a:rPr lang="pt-PT" sz="1200" b="0" i="0" baseline="0">
              <a:solidFill>
                <a:schemeClr val="tx2"/>
              </a:solidFill>
              <a:latin typeface="Arial" panose="020B0604020202020204" pitchFamily="34" charset="0"/>
              <a:cs typeface="Arial" panose="020B0604020202020204" pitchFamily="34" charset="0"/>
            </a:rPr>
            <a:t>i. a evolução do número de unidades de alojamento ocupadas, no ano projetado, afeta proporcionalmente </a:t>
          </a:r>
          <a:r>
            <a:rPr lang="pt-PT" sz="1200" b="0" i="0" u="none" baseline="0">
              <a:solidFill>
                <a:schemeClr val="tx2"/>
              </a:solidFill>
              <a:latin typeface="Arial" panose="020B0604020202020204" pitchFamily="34" charset="0"/>
              <a:cs typeface="Arial" panose="020B0604020202020204" pitchFamily="34" charset="0"/>
            </a:rPr>
            <a:t>todos os consumos de energia do edificado (incluindo o das áreas reservadas, </a:t>
          </a:r>
          <a:r>
            <a:rPr lang="pt-PT" sz="1200" b="0" i="1" u="none" baseline="0">
              <a:solidFill>
                <a:schemeClr val="tx2"/>
              </a:solidFill>
              <a:latin typeface="Arial" panose="020B0604020202020204" pitchFamily="34" charset="0"/>
              <a:cs typeface="Arial" panose="020B0604020202020204" pitchFamily="34" charset="0"/>
            </a:rPr>
            <a:t>se existentes</a:t>
          </a:r>
          <a:r>
            <a:rPr lang="pt-PT" sz="1200" b="0" i="0" u="none" baseline="0">
              <a:solidFill>
                <a:schemeClr val="tx2"/>
              </a:solidFill>
              <a:latin typeface="Arial" panose="020B0604020202020204" pitchFamily="34" charset="0"/>
              <a:cs typeface="Arial" panose="020B0604020202020204" pitchFamily="34" charset="0"/>
            </a:rPr>
            <a:t>), da lavandaria externa (</a:t>
          </a:r>
          <a:r>
            <a:rPr lang="pt-PT" sz="1200" b="0" i="1" u="none" baseline="0">
              <a:solidFill>
                <a:schemeClr val="tx2"/>
              </a:solidFill>
              <a:latin typeface="Arial" panose="020B0604020202020204" pitchFamily="34" charset="0"/>
              <a:cs typeface="Arial" panose="020B0604020202020204" pitchFamily="34" charset="0"/>
            </a:rPr>
            <a:t>se existente</a:t>
          </a:r>
          <a:r>
            <a:rPr lang="pt-PT" sz="1200" b="0" i="0" u="none" baseline="0">
              <a:solidFill>
                <a:schemeClr val="tx2"/>
              </a:solidFill>
              <a:latin typeface="Arial" panose="020B0604020202020204" pitchFamily="34" charset="0"/>
              <a:cs typeface="Arial" panose="020B0604020202020204" pitchFamily="34" charset="0"/>
            </a:rPr>
            <a:t>), e dos transportes, que são caracterizados nos dados do inventário; não são afetadas as emissões </a:t>
          </a:r>
          <a:r>
            <a:rPr lang="pt-PT" sz="1200" b="0" i="0" baseline="0">
              <a:solidFill>
                <a:schemeClr val="tx2"/>
              </a:solidFill>
              <a:latin typeface="Arial" panose="020B0604020202020204" pitchFamily="34" charset="0"/>
              <a:cs typeface="Arial" panose="020B0604020202020204" pitchFamily="34" charset="0"/>
            </a:rPr>
            <a:t>de gases fluorados;</a:t>
          </a:r>
        </a:p>
        <a:p>
          <a:pPr marL="0" indent="0">
            <a:lnSpc>
              <a:spcPct val="100000"/>
            </a:lnSpc>
            <a:spcBef>
              <a:spcPts val="0"/>
            </a:spcBef>
            <a:spcAft>
              <a:spcPts val="1200"/>
            </a:spcAft>
            <a:buNone/>
          </a:pPr>
          <a:r>
            <a:rPr lang="pt-PT" sz="1200" b="0" i="0" baseline="0">
              <a:solidFill>
                <a:schemeClr val="tx2"/>
              </a:solidFill>
              <a:latin typeface="Arial" panose="020B0604020202020204" pitchFamily="34" charset="0"/>
              <a:cs typeface="Arial" panose="020B0604020202020204" pitchFamily="34" charset="0"/>
            </a:rPr>
            <a:t>ii. o autoconsumo de energia elétrica considerado nos dados do inventário varia igualmente com a evolução do número de unidades de alojamento ocupadas, no ano projetado.</a:t>
          </a:r>
        </a:p>
        <a:p>
          <a:pPr marL="0" indent="0">
            <a:lnSpc>
              <a:spcPct val="100000"/>
            </a:lnSpc>
            <a:spcBef>
              <a:spcPts val="0"/>
            </a:spcBef>
            <a:spcAft>
              <a:spcPts val="1200"/>
            </a:spcAft>
            <a:buNone/>
          </a:pPr>
          <a:r>
            <a:rPr lang="pt-PT" sz="1200" b="0" i="0" baseline="0">
              <a:solidFill>
                <a:schemeClr val="tx2"/>
              </a:solidFill>
              <a:latin typeface="Arial" panose="020B0604020202020204" pitchFamily="34" charset="0"/>
              <a:cs typeface="Arial" panose="020B0604020202020204" pitchFamily="34" charset="0"/>
            </a:rPr>
            <a:t>Previamente ao preenchimento dos dados deste cenário é recomendável confirmar que a folha "DADOS_INVENTÁRIO" contém a informação mais atualizada disponível e está adequadamente preenchida.</a:t>
          </a:r>
          <a:endParaRPr lang="pt-PT" sz="1200" b="0" i="0" baseline="0">
            <a:solidFill>
              <a:schemeClr val="tx1">
                <a:lumMod val="65000"/>
                <a:lumOff val="35000"/>
              </a:schemeClr>
            </a:solidFill>
            <a:latin typeface="Arial" panose="020B0604020202020204" pitchFamily="34" charset="0"/>
            <a:cs typeface="Arial" panose="020B0604020202020204" pitchFamily="34" charset="0"/>
          </a:endParaRPr>
        </a:p>
        <a:p>
          <a:pPr marL="0" indent="0">
            <a:lnSpc>
              <a:spcPct val="100000"/>
            </a:lnSpc>
            <a:spcBef>
              <a:spcPts val="0"/>
            </a:spcBef>
            <a:spcAft>
              <a:spcPts val="1200"/>
            </a:spcAft>
            <a:buNone/>
          </a:pPr>
          <a:r>
            <a:rPr lang="pt-PT" sz="1400" b="1" i="0" baseline="0">
              <a:solidFill>
                <a:srgbClr val="8EFA23"/>
              </a:solidFill>
              <a:latin typeface="Arial" panose="020B0604020202020204" pitchFamily="34" charset="0"/>
              <a:cs typeface="Arial" panose="020B0604020202020204" pitchFamily="34" charset="0"/>
            </a:rPr>
            <a:t>II. Com medidas de redução</a:t>
          </a:r>
          <a:r>
            <a:rPr lang="pt-PT" sz="1200" b="0" i="0" baseline="0">
              <a:solidFill>
                <a:schemeClr val="tx2"/>
              </a:solidFill>
              <a:latin typeface="Arial" panose="020B0604020202020204" pitchFamily="34" charset="0"/>
              <a:cs typeface="Arial" panose="020B0604020202020204" pitchFamily="34" charset="0"/>
            </a:rPr>
            <a:t>, onde é dada a possibilidade do utilizador ensaiar o impacto de diferentes graus de ambição para a implementação de três tipologias de medidas: </a:t>
          </a:r>
        </a:p>
        <a:p>
          <a:pPr marL="0" indent="0">
            <a:lnSpc>
              <a:spcPct val="100000"/>
            </a:lnSpc>
            <a:spcBef>
              <a:spcPts val="0"/>
            </a:spcBef>
            <a:spcAft>
              <a:spcPts val="1200"/>
            </a:spcAft>
            <a:buNone/>
          </a:pPr>
          <a:r>
            <a:rPr lang="pt-PT" sz="1200" b="0" i="0" baseline="0">
              <a:solidFill>
                <a:schemeClr val="tx2"/>
              </a:solidFill>
              <a:latin typeface="Arial" panose="020B0604020202020204" pitchFamily="34" charset="0"/>
              <a:cs typeface="Arial" panose="020B0604020202020204" pitchFamily="34" charset="0"/>
            </a:rPr>
            <a:t>i) </a:t>
          </a:r>
          <a:r>
            <a:rPr lang="pt-PT" sz="1200" b="1" i="0" baseline="0">
              <a:solidFill>
                <a:schemeClr val="tx2"/>
              </a:solidFill>
              <a:latin typeface="Arial" panose="020B0604020202020204" pitchFamily="34" charset="0"/>
              <a:cs typeface="Arial" panose="020B0604020202020204" pitchFamily="34" charset="0"/>
            </a:rPr>
            <a:t>eficiência energética </a:t>
          </a:r>
          <a:r>
            <a:rPr lang="pt-PT" sz="1200" b="0" i="0" baseline="0">
              <a:solidFill>
                <a:schemeClr val="tx2"/>
              </a:solidFill>
              <a:latin typeface="Arial" panose="020B0604020202020204" pitchFamily="34" charset="0"/>
              <a:cs typeface="Arial" panose="020B0604020202020204" pitchFamily="34" charset="0"/>
            </a:rPr>
            <a:t>- a adoção de medidas como a substituição de equipamentos, gestão e alteração de comportamentos, isolamento térmico, substituição de janelas e caixilarias, sombreamentos, entre outras medidas de eficiência energética, reduzem as necessidades de consumo de energia no estabelecimento em 15%, 25% ou 35%, no ano projetado; </a:t>
          </a:r>
        </a:p>
        <a:p>
          <a:pPr marL="0" indent="0">
            <a:lnSpc>
              <a:spcPct val="100000"/>
            </a:lnSpc>
            <a:spcBef>
              <a:spcPts val="0"/>
            </a:spcBef>
            <a:spcAft>
              <a:spcPts val="1200"/>
            </a:spcAft>
            <a:buNone/>
          </a:pPr>
          <a:r>
            <a:rPr lang="pt-PT" sz="1200" b="0" i="0" baseline="0">
              <a:solidFill>
                <a:schemeClr val="tx2"/>
              </a:solidFill>
              <a:latin typeface="Arial" panose="020B0604020202020204" pitchFamily="34" charset="0"/>
              <a:cs typeface="Arial" panose="020B0604020202020204" pitchFamily="34" charset="0"/>
            </a:rPr>
            <a:t>ii) </a:t>
          </a:r>
          <a:r>
            <a:rPr lang="pt-PT" sz="1200" b="1" i="0" baseline="0">
              <a:solidFill>
                <a:schemeClr val="tx2"/>
              </a:solidFill>
              <a:latin typeface="Arial" panose="020B0604020202020204" pitchFamily="34" charset="0"/>
              <a:cs typeface="Arial" panose="020B0604020202020204" pitchFamily="34" charset="0"/>
            </a:rPr>
            <a:t>eletrificação</a:t>
          </a:r>
          <a:r>
            <a:rPr lang="pt-PT" sz="1200" b="0" i="0" baseline="0">
              <a:solidFill>
                <a:schemeClr val="tx2"/>
              </a:solidFill>
              <a:latin typeface="Arial" panose="020B0604020202020204" pitchFamily="34" charset="0"/>
              <a:cs typeface="Arial" panose="020B0604020202020204" pitchFamily="34" charset="0"/>
            </a:rPr>
            <a:t> - a transição para equipamentos elétricos, por ex., para aquecimento de águas sanitárias e aquecimento de águas de piscinas, ou para confeção de alimentos, reduz o consumo de combustíveis fósseis (gás natural, gás propano, GPL  e/ou gasóleo) em 50% ou 100%, no ano projetado;</a:t>
          </a:r>
        </a:p>
        <a:p>
          <a:pPr marL="0" indent="0">
            <a:lnSpc>
              <a:spcPct val="100000"/>
            </a:lnSpc>
            <a:spcBef>
              <a:spcPts val="0"/>
            </a:spcBef>
            <a:spcAft>
              <a:spcPts val="1200"/>
            </a:spcAft>
            <a:buNone/>
          </a:pPr>
          <a:r>
            <a:rPr lang="pt-PT" sz="1200" b="0" i="0" baseline="0">
              <a:solidFill>
                <a:schemeClr val="tx2"/>
              </a:solidFill>
              <a:latin typeface="Arial" panose="020B0604020202020204" pitchFamily="34" charset="0"/>
              <a:cs typeface="Arial" panose="020B0604020202020204" pitchFamily="34" charset="0"/>
            </a:rPr>
            <a:t>iii) o </a:t>
          </a:r>
          <a:r>
            <a:rPr lang="pt-PT" sz="1200" b="1" i="0" baseline="0">
              <a:solidFill>
                <a:schemeClr val="tx2"/>
              </a:solidFill>
              <a:latin typeface="Arial" panose="020B0604020202020204" pitchFamily="34" charset="0"/>
              <a:cs typeface="Arial" panose="020B0604020202020204" pitchFamily="34" charset="0"/>
            </a:rPr>
            <a:t>consumo de energia renovável </a:t>
          </a:r>
          <a:r>
            <a:rPr lang="pt-PT" sz="1200" b="0" i="0" baseline="0">
              <a:solidFill>
                <a:schemeClr val="tx2"/>
              </a:solidFill>
              <a:latin typeface="Arial" panose="020B0604020202020204" pitchFamily="34" charset="0"/>
              <a:cs typeface="Arial" panose="020B0604020202020204" pitchFamily="34" charset="0"/>
            </a:rPr>
            <a:t>representa 25%, 50%, 75% ou 100% do consumo total de energia do estabelecimento, no ano projetado. </a:t>
          </a:r>
        </a:p>
        <a:p>
          <a:pPr marL="0" indent="0">
            <a:lnSpc>
              <a:spcPct val="100000"/>
            </a:lnSpc>
            <a:spcBef>
              <a:spcPts val="0"/>
            </a:spcBef>
            <a:spcAft>
              <a:spcPts val="1200"/>
            </a:spcAft>
            <a:buNone/>
          </a:pPr>
          <a:r>
            <a:rPr lang="pt-PT" sz="1200" b="0" i="0" baseline="0">
              <a:solidFill>
                <a:schemeClr val="tx2"/>
              </a:solidFill>
              <a:latin typeface="Arial" panose="020B0604020202020204" pitchFamily="34" charset="0"/>
              <a:cs typeface="Arial" panose="020B0604020202020204" pitchFamily="34" charset="0"/>
            </a:rPr>
            <a:t>Cabe ao utilizador a seleção da combinação destas tipologias de medidas.</a:t>
          </a:r>
        </a:p>
        <a:p>
          <a:pPr marL="0" indent="0">
            <a:lnSpc>
              <a:spcPct val="100000"/>
            </a:lnSpc>
            <a:spcBef>
              <a:spcPts val="0"/>
            </a:spcBef>
            <a:spcAft>
              <a:spcPts val="600"/>
            </a:spcAft>
            <a:buNone/>
          </a:pPr>
          <a:r>
            <a:rPr lang="pt-PT" sz="1200" b="0" i="0" baseline="0">
              <a:solidFill>
                <a:schemeClr val="tx2"/>
              </a:solidFill>
              <a:latin typeface="Arial" panose="020B0604020202020204" pitchFamily="34" charset="0"/>
              <a:cs typeface="Arial" panose="020B0604020202020204" pitchFamily="34" charset="0"/>
            </a:rPr>
            <a:t>São assumidos os seguintes pressupostos:</a:t>
          </a:r>
        </a:p>
        <a:p>
          <a:pPr marL="0" indent="0">
            <a:lnSpc>
              <a:spcPct val="100000"/>
            </a:lnSpc>
            <a:spcBef>
              <a:spcPts val="0"/>
            </a:spcBef>
            <a:spcAft>
              <a:spcPts val="600"/>
            </a:spcAft>
            <a:buNone/>
          </a:pPr>
          <a:r>
            <a:rPr lang="pt-PT" sz="1200" b="0" i="0" baseline="0">
              <a:solidFill>
                <a:schemeClr val="tx2"/>
              </a:solidFill>
              <a:latin typeface="Arial" panose="020B0604020202020204" pitchFamily="34" charset="0"/>
              <a:cs typeface="Arial" panose="020B0604020202020204" pitchFamily="34" charset="0"/>
            </a:rPr>
            <a:t>Cenário C1 (eficiência energética): i) a redução de consumos aplica-se exclusivamente ao edificado  (incluindo o das áreas reservadas) e cobre igualmente todas as formas de energia; ii) a percentagem de compra de energia renovável corresponde ao total, incluindo, portanto, aquela já indicada no inventário; a produção de energia elétrica em autoconsumo mantem-se igual à do cenário BAU.</a:t>
          </a:r>
        </a:p>
        <a:p>
          <a:pPr marL="0" indent="0">
            <a:lnSpc>
              <a:spcPct val="100000"/>
            </a:lnSpc>
            <a:spcBef>
              <a:spcPts val="0"/>
            </a:spcBef>
            <a:spcAft>
              <a:spcPts val="1200"/>
            </a:spcAft>
            <a:buNone/>
          </a:pPr>
          <a:r>
            <a:rPr lang="pt-PT" sz="1200" b="0" i="0" baseline="0">
              <a:solidFill>
                <a:schemeClr val="tx2"/>
              </a:solidFill>
              <a:latin typeface="Arial" panose="020B0604020202020204" pitchFamily="34" charset="0"/>
              <a:cs typeface="Arial" panose="020B0604020202020204" pitchFamily="34" charset="0"/>
            </a:rPr>
            <a:t>Cenário C2 (eletrificação): i) considera-se que existe uma transferência direta da quantidade de energia consumida sob a forma de combustíveis fósseis, quer no edificado (incluindo as áreas reservadas,</a:t>
          </a:r>
          <a:r>
            <a:rPr lang="pt-PT" sz="1200" b="0" i="1" baseline="0">
              <a:solidFill>
                <a:schemeClr val="tx2"/>
              </a:solidFill>
              <a:latin typeface="Arial" panose="020B0604020202020204" pitchFamily="34" charset="0"/>
              <a:cs typeface="Arial" panose="020B0604020202020204" pitchFamily="34" charset="0"/>
            </a:rPr>
            <a:t> quando existentes</a:t>
          </a:r>
          <a:r>
            <a:rPr lang="pt-PT" sz="1200" b="0" i="0" baseline="0">
              <a:solidFill>
                <a:schemeClr val="tx2"/>
              </a:solidFill>
              <a:latin typeface="Arial" panose="020B0604020202020204" pitchFamily="34" charset="0"/>
              <a:cs typeface="Arial" panose="020B0604020202020204" pitchFamily="34" charset="0"/>
            </a:rPr>
            <a:t>), quer nos transportes, para a eletricidade, em proporção da intensidade do processo de eletrificação considerado; isto não se aplica à lavandaria externa.</a:t>
          </a:r>
        </a:p>
        <a:p>
          <a:pPr marL="0" indent="0">
            <a:lnSpc>
              <a:spcPct val="100000"/>
            </a:lnSpc>
            <a:spcBef>
              <a:spcPts val="0"/>
            </a:spcBef>
            <a:spcAft>
              <a:spcPts val="1200"/>
            </a:spcAft>
            <a:buNone/>
          </a:pPr>
          <a:r>
            <a:rPr lang="pt-PT" sz="1200" b="0" i="0" baseline="0">
              <a:solidFill>
                <a:schemeClr val="tx2"/>
              </a:solidFill>
              <a:latin typeface="Arial" panose="020B0604020202020204" pitchFamily="34" charset="0"/>
              <a:cs typeface="Arial" panose="020B0604020202020204" pitchFamily="34" charset="0"/>
            </a:rPr>
            <a:t>O cenário com medidas de redução deve ser sempre precedida pelo cenário BAU.</a:t>
          </a:r>
        </a:p>
        <a:p>
          <a:pPr marL="0" indent="0">
            <a:lnSpc>
              <a:spcPct val="100000"/>
            </a:lnSpc>
            <a:spcBef>
              <a:spcPts val="0"/>
            </a:spcBef>
            <a:spcAft>
              <a:spcPts val="1200"/>
            </a:spcAft>
            <a:buNone/>
          </a:pPr>
          <a:r>
            <a:rPr lang="pt-PT" sz="1200" b="0" i="0" baseline="0">
              <a:solidFill>
                <a:schemeClr val="tx2"/>
              </a:solidFill>
              <a:latin typeface="Arial" panose="020B0604020202020204" pitchFamily="34" charset="0"/>
              <a:cs typeface="Arial" panose="020B0604020202020204" pitchFamily="34" charset="0"/>
            </a:rPr>
            <a:t>Os resultados obtidos ilustram a ordem de grandeza do impacto de cada tipologia de medidas no estabelecimento, em termos de redução das suas emissões de GEE. Os resultados integram também a comparação deste cenário com o cenário BAU, em termos de percentagem de redução de emissões e da sua valorização monetária, considerando um preço sombra para o carbono. </a:t>
          </a:r>
          <a:endParaRPr lang="pt-PT" sz="1400" b="0" i="0" baseline="0">
            <a:solidFill>
              <a:srgbClr val="2F5497"/>
            </a:solidFill>
            <a:latin typeface="Arial" panose="020B0604020202020204" pitchFamily="34" charset="0"/>
            <a:cs typeface="Arial" panose="020B0604020202020204" pitchFamily="34" charset="0"/>
          </a:endParaRPr>
        </a:p>
        <a:p>
          <a:pPr marL="0" indent="0">
            <a:lnSpc>
              <a:spcPct val="100000"/>
            </a:lnSpc>
            <a:spcBef>
              <a:spcPts val="0"/>
            </a:spcBef>
            <a:buNone/>
          </a:pPr>
          <a:endParaRPr lang="pt-PT" sz="1400" b="0" i="0" baseline="0">
            <a:solidFill>
              <a:srgbClr val="2F5497"/>
            </a:solidFill>
            <a:latin typeface="Arial" panose="020B0604020202020204" pitchFamily="34" charset="0"/>
            <a:cs typeface="Arial" panose="020B0604020202020204" pitchFamily="34" charset="0"/>
          </a:endParaRPr>
        </a:p>
        <a:p>
          <a:pPr marL="0" indent="0">
            <a:lnSpc>
              <a:spcPct val="100000"/>
            </a:lnSpc>
            <a:spcBef>
              <a:spcPts val="0"/>
            </a:spcBef>
            <a:buNone/>
          </a:pPr>
          <a:endParaRPr lang="pt-PT" sz="1400" b="0" i="0" baseline="0">
            <a:solidFill>
              <a:srgbClr val="2F5497"/>
            </a:solidFill>
            <a:latin typeface="Arial" panose="020B0604020202020204" pitchFamily="34" charset="0"/>
            <a:cs typeface="Arial" panose="020B0604020202020204" pitchFamily="34" charset="0"/>
          </a:endParaRPr>
        </a:p>
      </xdr:txBody>
    </xdr:sp>
    <xdr:clientData/>
  </xdr:twoCellAnchor>
  <xdr:twoCellAnchor editAs="oneCell">
    <xdr:from>
      <xdr:col>0</xdr:col>
      <xdr:colOff>673100</xdr:colOff>
      <xdr:row>1</xdr:row>
      <xdr:rowOff>38100</xdr:rowOff>
    </xdr:from>
    <xdr:to>
      <xdr:col>3</xdr:col>
      <xdr:colOff>284480</xdr:colOff>
      <xdr:row>4</xdr:row>
      <xdr:rowOff>457200</xdr:rowOff>
    </xdr:to>
    <xdr:pic>
      <xdr:nvPicPr>
        <xdr:cNvPr id="4" name="Imagem 3">
          <a:extLst>
            <a:ext uri="{FF2B5EF4-FFF2-40B4-BE49-F238E27FC236}">
              <a16:creationId xmlns:a16="http://schemas.microsoft.com/office/drawing/2014/main" id="{48DC7FF6-1D05-EC44-BBAA-8FF743375296}"/>
            </a:ext>
          </a:extLst>
        </xdr:cNvPr>
        <xdr:cNvPicPr>
          <a:picLocks noChangeAspect="1"/>
        </xdr:cNvPicPr>
      </xdr:nvPicPr>
      <xdr:blipFill>
        <a:blip xmlns:r="http://schemas.openxmlformats.org/officeDocument/2006/relationships" r:embed="rId3"/>
        <a:stretch>
          <a:fillRect/>
        </a:stretch>
      </xdr:blipFill>
      <xdr:spPr>
        <a:xfrm>
          <a:off x="673100" y="241300"/>
          <a:ext cx="4203700" cy="102870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75112-1891-5E45-87BC-238657CEBB42}">
  <dimension ref="L4:O38"/>
  <sheetViews>
    <sheetView showRowColHeaders="0" tabSelected="1" zoomScale="90" zoomScaleNormal="90" workbookViewId="0">
      <selection activeCell="J50" sqref="J50"/>
    </sheetView>
  </sheetViews>
  <sheetFormatPr defaultColWidth="10.875" defaultRowHeight="15.75"/>
  <cols>
    <col min="1" max="14" width="10.875" style="1"/>
    <col min="15" max="15" width="72" style="1" customWidth="1"/>
    <col min="16" max="16384" width="10.875" style="1"/>
  </cols>
  <sheetData>
    <row r="4" spans="15:15" ht="19.5">
      <c r="O4" s="2"/>
    </row>
    <row r="33" spans="12:13" ht="23.1" customHeight="1"/>
    <row r="37" spans="12:13">
      <c r="L37" s="103" t="s">
        <v>309</v>
      </c>
      <c r="M37" s="103"/>
    </row>
    <row r="38" spans="12:13">
      <c r="L38" s="103" t="s">
        <v>307</v>
      </c>
      <c r="M38" s="103" t="s">
        <v>308</v>
      </c>
    </row>
  </sheetData>
  <sheetProtection algorithmName="SHA-512" hashValue="vB/L67TnT0mUm5BoXedhJ3tzxCl3ZMcAhOU0sa42peajq94OL86nAQIbxeYMApMPBqYfGY5wIML40ntCbOCuUQ==" saltValue="zLdSBb8WgHZlCu/0Fp0u+g==" spinCount="100000" sheet="1" objects="1" scenarios="1" selectLockedCells="1" selectUn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656DD-2975-CD4E-8A01-E0CF8237DE54}">
  <sheetPr>
    <tabColor rgb="FF1F7044"/>
  </sheetPr>
  <dimension ref="B5:B9"/>
  <sheetViews>
    <sheetView showRowColHeaders="0" zoomScale="90" zoomScaleNormal="90" workbookViewId="0">
      <selection activeCell="AD69" sqref="AD69"/>
    </sheetView>
  </sheetViews>
  <sheetFormatPr defaultColWidth="10.875" defaultRowHeight="15.75"/>
  <cols>
    <col min="1" max="1" width="4" style="1" customWidth="1"/>
    <col min="2" max="2" width="26.875" style="1" customWidth="1"/>
    <col min="3" max="16384" width="10.875" style="1"/>
  </cols>
  <sheetData>
    <row r="5" spans="2:2" ht="18.95" customHeight="1"/>
    <row r="8" spans="2:2">
      <c r="B8" s="21" t="s">
        <v>197</v>
      </c>
    </row>
    <row r="9" spans="2:2">
      <c r="B9" s="21" t="s">
        <v>198</v>
      </c>
    </row>
  </sheetData>
  <sheetProtection algorithmName="SHA-512" hashValue="GsHJWPaerKe8W8H/LqPJ/8DdVybTJIM5xGkpyM06RyPJxfLXg+4VwlwpjATyOanMohY/Aw6kVY2+UAaFFHMJvg==" saltValue="WPU/J4AwSt28Sa8fdo+LLw==" spinCount="100000" sheet="1" objects="1" scenarios="1" selectLockedCells="1" selectUnlockedCell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5D2A2-405F-7D48-91E9-648D0F535067}">
  <dimension ref="B5:E33"/>
  <sheetViews>
    <sheetView showRowColHeaders="0" topLeftCell="A2" zoomScale="90" zoomScaleNormal="90" workbookViewId="0">
      <selection activeCell="C20" sqref="C20:D20"/>
    </sheetView>
  </sheetViews>
  <sheetFormatPr defaultColWidth="10.875" defaultRowHeight="15.75"/>
  <cols>
    <col min="1" max="1" width="4.625" style="1" customWidth="1"/>
    <col min="2" max="2" width="46.625" style="1" customWidth="1"/>
    <col min="3" max="3" width="16.875" style="1" customWidth="1"/>
    <col min="4" max="4" width="20" style="1" customWidth="1"/>
    <col min="5" max="5" width="79.875" style="1" customWidth="1"/>
    <col min="6" max="16384" width="10.875" style="1"/>
  </cols>
  <sheetData>
    <row r="5" ht="41.1" customHeight="1"/>
    <row r="18" spans="2:5" ht="18.75">
      <c r="B18" s="8" t="s">
        <v>342</v>
      </c>
      <c r="C18" s="323" t="str">
        <f>IF(DADOS_INVENTÁRIO!D14="","")</f>
        <v/>
      </c>
      <c r="D18" s="323"/>
    </row>
    <row r="19" spans="2:5" ht="9" customHeight="1"/>
    <row r="20" spans="2:5" ht="20.100000000000001" customHeight="1">
      <c r="B20" s="1" t="s">
        <v>316</v>
      </c>
      <c r="C20" s="322"/>
      <c r="D20" s="322"/>
    </row>
    <row r="22" spans="2:5" ht="26.1" customHeight="1" thickBot="1">
      <c r="B22" s="39" t="s">
        <v>1</v>
      </c>
      <c r="C22" s="29" t="s">
        <v>3</v>
      </c>
      <c r="D22" s="29" t="s">
        <v>4</v>
      </c>
      <c r="E22" s="28" t="s">
        <v>2</v>
      </c>
    </row>
    <row r="23" spans="2:5" ht="6.95" customHeight="1" thickBot="1">
      <c r="B23" s="15"/>
      <c r="C23" s="16"/>
      <c r="D23" s="13"/>
      <c r="E23" s="14"/>
    </row>
    <row r="24" spans="2:5" ht="32.1" customHeight="1">
      <c r="B24" s="26" t="s">
        <v>397</v>
      </c>
      <c r="C24" s="25" t="s">
        <v>257</v>
      </c>
      <c r="D24" s="90"/>
      <c r="E24" s="116" t="s">
        <v>317</v>
      </c>
    </row>
    <row r="25" spans="2:5" ht="32.1" customHeight="1">
      <c r="B25" s="7" t="s">
        <v>259</v>
      </c>
      <c r="C25" s="6" t="s">
        <v>42</v>
      </c>
      <c r="D25" s="79"/>
      <c r="E25" s="78" t="s">
        <v>304</v>
      </c>
    </row>
    <row r="26" spans="2:5" ht="32.1" customHeight="1" thickBot="1">
      <c r="B26" s="30" t="s">
        <v>260</v>
      </c>
      <c r="C26" s="31" t="s">
        <v>44</v>
      </c>
      <c r="D26" s="91"/>
      <c r="E26" s="32" t="s">
        <v>262</v>
      </c>
    </row>
    <row r="29" spans="2:5" ht="26.1" customHeight="1" thickBot="1">
      <c r="B29" s="39" t="s">
        <v>174</v>
      </c>
      <c r="C29" s="29" t="s">
        <v>4</v>
      </c>
      <c r="D29" s="29" t="s">
        <v>3</v>
      </c>
      <c r="E29" s="28" t="s">
        <v>2</v>
      </c>
    </row>
    <row r="30" spans="2:5" ht="6.95" customHeight="1" thickBot="1">
      <c r="B30" s="15"/>
      <c r="C30" s="16"/>
      <c r="D30" s="13"/>
      <c r="E30" s="14" t="s">
        <v>180</v>
      </c>
    </row>
    <row r="31" spans="2:5" ht="45" customHeight="1">
      <c r="B31" s="26" t="s">
        <v>396</v>
      </c>
      <c r="C31" s="68" t="str">
        <f>IF(D24="","",IF('RESULTADOS INVENTÁRIO'!C27="","",D24*'RESULTADOS INVENTÁRIO'!C27))</f>
        <v/>
      </c>
      <c r="D31" s="25" t="s">
        <v>401</v>
      </c>
      <c r="E31" s="119" t="s">
        <v>416</v>
      </c>
    </row>
    <row r="32" spans="2:5" ht="45" customHeight="1">
      <c r="B32" s="7" t="s">
        <v>263</v>
      </c>
      <c r="C32" s="69" t="str">
        <f>IF(D25="","",IF('RESULTADOS INVENTÁRIO'!C28="","",'RESULTADOS INVENTÁRIO'!C28/10*'PEGADA DE CLIENTES'!D26*'PEGADA DE CLIENTES'!D25))</f>
        <v/>
      </c>
      <c r="D32" s="6" t="s">
        <v>401</v>
      </c>
      <c r="E32" s="122" t="s">
        <v>417</v>
      </c>
    </row>
    <row r="33" spans="2:5" ht="45" customHeight="1" thickBot="1">
      <c r="B33" s="30" t="s">
        <v>258</v>
      </c>
      <c r="C33" s="70" t="str">
        <f>IF(C31="","",IF(C32="","",C31+C32))</f>
        <v/>
      </c>
      <c r="D33" s="31" t="s">
        <v>401</v>
      </c>
      <c r="E33" s="123" t="s">
        <v>418</v>
      </c>
    </row>
  </sheetData>
  <sheetProtection sheet="1" objects="1" scenarios="1" selectLockedCells="1"/>
  <mergeCells count="2">
    <mergeCell ref="C20:D20"/>
    <mergeCell ref="C18:D1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9386D-8DA5-024F-AF0C-7FF41202FAE3}">
  <dimension ref="B5:G41"/>
  <sheetViews>
    <sheetView showGridLines="0" showRowColHeaders="0" zoomScale="90" zoomScaleNormal="90" workbookViewId="0">
      <selection activeCell="D3" sqref="D3"/>
    </sheetView>
  </sheetViews>
  <sheetFormatPr defaultColWidth="10.875" defaultRowHeight="15.75"/>
  <cols>
    <col min="1" max="1" width="4.625" style="1" customWidth="1"/>
    <col min="2" max="2" width="54" style="1" customWidth="1"/>
    <col min="3" max="3" width="15.375" style="1" customWidth="1"/>
    <col min="4" max="4" width="26.875" style="1" customWidth="1"/>
    <col min="5" max="5" width="123.375" style="14" customWidth="1"/>
    <col min="6" max="16384" width="10.875" style="1"/>
  </cols>
  <sheetData>
    <row r="5" spans="7:7" ht="41.1" customHeight="1">
      <c r="G5" s="53"/>
    </row>
    <row r="6" spans="7:7" ht="9.9499999999999993" customHeight="1">
      <c r="G6" s="53"/>
    </row>
    <row r="7" spans="7:7" ht="9.9499999999999993" customHeight="1">
      <c r="G7" s="53"/>
    </row>
    <row r="8" spans="7:7" ht="15" customHeight="1">
      <c r="G8" s="53"/>
    </row>
    <row r="9" spans="7:7" ht="15" customHeight="1">
      <c r="G9" s="53"/>
    </row>
    <row r="10" spans="7:7" ht="15" customHeight="1">
      <c r="G10" s="53"/>
    </row>
    <row r="11" spans="7:7" ht="15" customHeight="1">
      <c r="G11" s="53"/>
    </row>
    <row r="12" spans="7:7" ht="15" customHeight="1">
      <c r="G12" s="53"/>
    </row>
    <row r="13" spans="7:7" ht="15" customHeight="1">
      <c r="G13" s="53"/>
    </row>
    <row r="14" spans="7:7" ht="15" customHeight="1">
      <c r="G14" s="53"/>
    </row>
    <row r="15" spans="7:7" ht="15" customHeight="1">
      <c r="G15" s="53"/>
    </row>
    <row r="16" spans="7:7" ht="15" customHeight="1">
      <c r="G16" s="53"/>
    </row>
    <row r="17" spans="2:5" ht="18.75">
      <c r="B17" s="54"/>
      <c r="C17" s="54"/>
      <c r="D17" s="4"/>
      <c r="E17" s="113" t="str">
        <f>IF(DADOS_INVENTÁRIO!F26="","",DADOS_INVENTÁRIO!F26)</f>
        <v/>
      </c>
    </row>
    <row r="18" spans="2:5" ht="18.75">
      <c r="B18" s="8" t="s">
        <v>342</v>
      </c>
      <c r="C18" s="324" t="str">
        <f>IF(DADOS_INVENTÁRIO!D14,"","")</f>
        <v/>
      </c>
      <c r="D18" s="324"/>
      <c r="E18" s="113" t="str">
        <f>IF('Folha de Apoio'!C27="ERRO","NOTA: por favor, preencher a área de ESPAÇOS RESERVADOS folha DADOS_INVENTÁRIO, linha 72","")</f>
        <v/>
      </c>
    </row>
    <row r="19" spans="2:5" ht="18.75">
      <c r="E19" s="113" t="str">
        <f>IF(C24="","",IF(DADOS_INVENTÁRIO!E31="","NOTA: deve ser preenchida a Área de Quartos na folha DADOS_INVENTÁRIO",IF(DADOS_INVENTÁRIO!E33="","NOTA: deve ser preenchida a Área de Área Condicionada na folha DADOS_INVENTÁRIO","")))</f>
        <v/>
      </c>
    </row>
    <row r="20" spans="2:5" ht="18.75">
      <c r="B20" s="22" t="s">
        <v>173</v>
      </c>
      <c r="C20" s="23">
        <f>DADOS_INVENTÁRIO!D21</f>
        <v>0</v>
      </c>
      <c r="D20" s="23">
        <f>DADOS_INVENTÁRIO!D22</f>
        <v>0</v>
      </c>
      <c r="E20" s="113" t="str">
        <f>IF(DADOS_INVENTÁRIO!F73="","","NOTA: deve preencher corretamente o valor da área de ESPAÇOS PRIVADOS na folha DADOS_INVENTÁRIO, linha72")</f>
        <v/>
      </c>
    </row>
    <row r="21" spans="2:5" ht="18.75">
      <c r="E21" s="113" t="str">
        <f>IF(DADOS_INVENTÁRIO!F27="","",DADOS_INVENTÁRIO!F27)</f>
        <v/>
      </c>
    </row>
    <row r="22" spans="2:5" ht="29.1" customHeight="1">
      <c r="B22" s="49" t="s">
        <v>174</v>
      </c>
      <c r="C22" s="50" t="s">
        <v>4</v>
      </c>
      <c r="D22" s="50" t="s">
        <v>3</v>
      </c>
      <c r="E22" s="51" t="s">
        <v>2</v>
      </c>
    </row>
    <row r="23" spans="2:5" ht="6.95" customHeight="1" thickBot="1">
      <c r="B23" s="15"/>
      <c r="C23" s="16"/>
      <c r="D23" s="13"/>
      <c r="E23" s="14" t="s">
        <v>180</v>
      </c>
    </row>
    <row r="24" spans="2:5" ht="38.1" customHeight="1">
      <c r="B24" s="26" t="s">
        <v>350</v>
      </c>
      <c r="C24" s="148" t="str">
        <f>IFERROR(IF('Folha de Apoio'!C2="","",'Folha de Apoio'!C2/1000),"")</f>
        <v/>
      </c>
      <c r="D24" s="25" t="s">
        <v>400</v>
      </c>
      <c r="E24" s="119" t="s">
        <v>419</v>
      </c>
    </row>
    <row r="25" spans="2:5" ht="38.1" customHeight="1">
      <c r="B25" s="7" t="s">
        <v>318</v>
      </c>
      <c r="C25" s="69" t="str">
        <f>IFERROR(IF(C24="","",C24*'Folha de Apoio'!B29),"")</f>
        <v/>
      </c>
      <c r="D25" s="6" t="s">
        <v>400</v>
      </c>
      <c r="E25" s="121" t="s">
        <v>420</v>
      </c>
    </row>
    <row r="26" spans="2:5" ht="38.1" customHeight="1">
      <c r="B26" s="7" t="s">
        <v>319</v>
      </c>
      <c r="C26" s="69" t="str">
        <f>IFERROR(IF(C24="","",C24*'Folha de Apoio'!B31),"")</f>
        <v/>
      </c>
      <c r="D26" s="6" t="s">
        <v>400</v>
      </c>
      <c r="E26" s="122" t="s">
        <v>421</v>
      </c>
    </row>
    <row r="27" spans="2:5" ht="38.1" customHeight="1">
      <c r="B27" s="7" t="s">
        <v>320</v>
      </c>
      <c r="C27" s="149" t="str">
        <f>IFERROR(IF(C24="","",C25/DADOS_INVENTÁRIO!E39*1000),"")</f>
        <v/>
      </c>
      <c r="D27" s="6" t="s">
        <v>402</v>
      </c>
      <c r="E27" s="122" t="s">
        <v>422</v>
      </c>
    </row>
    <row r="28" spans="2:5" ht="38.1" customHeight="1" thickBot="1">
      <c r="B28" s="30" t="s">
        <v>322</v>
      </c>
      <c r="C28" s="150" t="str">
        <f>IFERROR(IF(C24="","",C26/365/DADOS_INVENTÁRIO!E32*1000),"")</f>
        <v/>
      </c>
      <c r="D28" s="31" t="s">
        <v>403</v>
      </c>
      <c r="E28" s="123" t="s">
        <v>423</v>
      </c>
    </row>
    <row r="29" spans="2:5" ht="6.95" customHeight="1" thickBot="1">
      <c r="B29" s="75"/>
      <c r="C29" s="76"/>
      <c r="D29" s="76"/>
      <c r="E29" s="14" t="s">
        <v>176</v>
      </c>
    </row>
    <row r="30" spans="2:5" ht="38.1" customHeight="1">
      <c r="B30" s="26" t="s">
        <v>321</v>
      </c>
      <c r="C30" s="151" t="str">
        <f>IFERROR(IF(C24="","",'Folha de Apoio'!H35*'Folha de Apoio'!B29/DADOS_INVENTÁRIO!E39),"")</f>
        <v/>
      </c>
      <c r="D30" s="25" t="s">
        <v>323</v>
      </c>
      <c r="E30" s="117" t="s">
        <v>324</v>
      </c>
    </row>
    <row r="31" spans="2:5" ht="38.1" customHeight="1" thickBot="1">
      <c r="B31" s="30" t="s">
        <v>175</v>
      </c>
      <c r="C31" s="152" t="str">
        <f>IFERROR(IF(C24="","",'Folha de Apoio'!H35*'Folha de Apoio'!B31/DADOS_INVENTÁRIO!E32/365),"")</f>
        <v/>
      </c>
      <c r="D31" s="31" t="s">
        <v>240</v>
      </c>
      <c r="E31" s="118" t="s">
        <v>325</v>
      </c>
    </row>
    <row r="32" spans="2:5" ht="6.95" customHeight="1" thickBot="1">
      <c r="B32" s="75"/>
      <c r="C32" s="76"/>
      <c r="D32" s="76"/>
      <c r="E32" s="52" t="s">
        <v>177</v>
      </c>
    </row>
    <row r="33" spans="2:5" ht="38.1" customHeight="1">
      <c r="B33" s="26" t="s">
        <v>178</v>
      </c>
      <c r="C33" s="153" t="str">
        <f>IFERROR(IF(C24="","",((DADOS_INVENTÁRIO!E61+DADOS_INVENTÁRIO!E62)*(1-'Folha de Apoio'!C26))/1000),"")</f>
        <v/>
      </c>
      <c r="D33" s="25" t="s">
        <v>237</v>
      </c>
      <c r="E33" s="117" t="s">
        <v>351</v>
      </c>
    </row>
    <row r="34" spans="2:5" ht="38.1" customHeight="1" thickBot="1">
      <c r="B34" s="30" t="s">
        <v>199</v>
      </c>
      <c r="C34" s="154" t="str">
        <f>IFERROR(IF(C24="","",'Folha de Apoio'!H38),"")</f>
        <v/>
      </c>
      <c r="D34" s="31" t="s">
        <v>179</v>
      </c>
      <c r="E34" s="118" t="s">
        <v>352</v>
      </c>
    </row>
    <row r="36" spans="2:5" ht="18.75">
      <c r="B36" s="115" t="str">
        <f>IF('Folha de Apoio'!F15="","","NOTA: Por favor, preencha os consumos da lavandaria externa - folha DADOS_INVENTÁRIO")</f>
        <v/>
      </c>
    </row>
    <row r="37" spans="2:5" ht="18.75">
      <c r="B37" s="115" t="str">
        <f>IF('Folha de Apoio'!F16="","","NOTA: Por favor, preencha o volume de roupa entregue anualmente à lavandaria externa - folha DADOS_INVENTÁRIO")</f>
        <v/>
      </c>
    </row>
    <row r="38" spans="2:5" ht="18.75">
      <c r="B38" s="115" t="str">
        <f>IF('Folha de Apoio'!E15="ERRO","NOTA: esqueceu-se de preencher os consumos das Áreas Reservadas - folha DADOS_INVENTÁRIO","")</f>
        <v/>
      </c>
    </row>
    <row r="39" spans="2:5" ht="18.75">
      <c r="B39" s="114" t="str">
        <f>IF('Folha de Apoio'!H44="ERRO","NOTA : Esqueceu-se de preencher os valores de consumo de gases refrigerantes na folha DADOS_INVENTÁRIO, linhas 109 a 112","")</f>
        <v/>
      </c>
    </row>
    <row r="40" spans="2:5" ht="18.75">
      <c r="B40" s="115" t="str">
        <f>IF('Folha de Apoio'!F17="","","NOTA: Preencha os dados de Lavandaria Externa - folha de DADOS_INVENTÁRIO")</f>
        <v/>
      </c>
    </row>
    <row r="41" spans="2:5" ht="18.75">
      <c r="B41" s="115" t="str">
        <f>IF(DADOS_INVENTÁRIO!E63="","","NOTA: o consumo de Energia Renovável não pode ser superior ao registado como consumo geral de eletricidade")</f>
        <v/>
      </c>
    </row>
  </sheetData>
  <sheetProtection algorithmName="SHA-512" hashValue="f42d0ydE+t4Zu0GxQqCnaw6GaIBpXK2NqiKv/h8G09DWcuq5fpaE+9+ibh/VkZxKBCZPJaUrzrV2p28tkYeRnw==" saltValue="7AH954veyRh2jZWg6dovSQ==" spinCount="100000" sheet="1" objects="1" scenarios="1" selectLockedCells="1" selectUnlockedCells="1"/>
  <mergeCells count="1">
    <mergeCell ref="C18:D1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0D88F-C0ED-4497-9A9D-6B04BA51519C}">
  <dimension ref="A1"/>
  <sheetViews>
    <sheetView workbookViewId="0">
      <selection activeCell="A4" sqref="A4"/>
    </sheetView>
  </sheetViews>
  <sheetFormatPr defaultColWidth="8.875" defaultRowHeight="15.7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A4F0F-69E3-0C45-A79F-C6E693569821}">
  <dimension ref="A5:G758"/>
  <sheetViews>
    <sheetView showGridLines="0" zoomScale="80" zoomScaleNormal="80" workbookViewId="0">
      <selection activeCell="D14" sqref="D14:E14"/>
    </sheetView>
  </sheetViews>
  <sheetFormatPr defaultColWidth="10.875" defaultRowHeight="15.75" outlineLevelRow="1"/>
  <cols>
    <col min="1" max="1" width="4.625" style="157" customWidth="1"/>
    <col min="2" max="2" width="7.375" style="156" customWidth="1"/>
    <col min="3" max="3" width="54.375" style="157" customWidth="1"/>
    <col min="4" max="4" width="15.375" style="158" customWidth="1"/>
    <col min="5" max="5" width="20" style="159" customWidth="1"/>
    <col min="6" max="6" width="109.875" style="157" customWidth="1"/>
    <col min="7" max="7" width="71.375" style="157" customWidth="1"/>
    <col min="8" max="16384" width="10.875" style="157"/>
  </cols>
  <sheetData>
    <row r="5" spans="2:5" ht="41.1" customHeight="1"/>
    <row r="6" spans="2:5" ht="16.5" thickBot="1">
      <c r="E6" s="158"/>
    </row>
    <row r="7" spans="2:5" ht="24.95" customHeight="1" thickBot="1">
      <c r="B7" s="329" t="s">
        <v>326</v>
      </c>
      <c r="C7" s="330"/>
      <c r="E7" s="158"/>
    </row>
    <row r="8" spans="2:5" ht="6" customHeight="1">
      <c r="E8" s="158"/>
    </row>
    <row r="9" spans="2:5">
      <c r="B9" s="160" t="s">
        <v>0</v>
      </c>
    </row>
    <row r="10" spans="2:5" ht="24.95" customHeight="1">
      <c r="B10" s="157"/>
      <c r="C10" s="156"/>
    </row>
    <row r="11" spans="2:5" ht="18.75">
      <c r="B11" s="161"/>
      <c r="C11" s="162" t="s">
        <v>303</v>
      </c>
    </row>
    <row r="12" spans="2:5">
      <c r="B12" s="161"/>
      <c r="C12" s="160"/>
    </row>
    <row r="14" spans="2:5" s="156" customFormat="1" ht="24.95" customHeight="1">
      <c r="C14" s="163" t="s">
        <v>342</v>
      </c>
      <c r="D14" s="342"/>
      <c r="E14" s="343"/>
    </row>
    <row r="17" spans="2:7" ht="18.75">
      <c r="B17" s="161"/>
      <c r="C17" s="162" t="s">
        <v>152</v>
      </c>
    </row>
    <row r="18" spans="2:7">
      <c r="B18" s="161"/>
      <c r="C18" s="160"/>
    </row>
    <row r="19" spans="2:7" ht="8.1" customHeight="1"/>
    <row r="20" spans="2:7" s="156" customFormat="1" ht="30" customHeight="1">
      <c r="C20" s="164" t="s">
        <v>183</v>
      </c>
      <c r="D20" s="165"/>
      <c r="E20" s="166"/>
    </row>
    <row r="21" spans="2:7" ht="24.95" customHeight="1">
      <c r="C21" s="163" t="s">
        <v>150</v>
      </c>
      <c r="D21" s="344"/>
      <c r="E21" s="345"/>
      <c r="F21" s="167"/>
    </row>
    <row r="22" spans="2:7" ht="24.95" customHeight="1">
      <c r="C22" s="163" t="s">
        <v>151</v>
      </c>
      <c r="D22" s="344"/>
      <c r="E22" s="345"/>
    </row>
    <row r="24" spans="2:7">
      <c r="G24" s="168">
        <f>365*E34</f>
        <v>0</v>
      </c>
    </row>
    <row r="25" spans="2:7" ht="18.75">
      <c r="B25" s="161"/>
      <c r="C25" s="162" t="s">
        <v>153</v>
      </c>
    </row>
    <row r="26" spans="2:7">
      <c r="B26" s="161"/>
      <c r="C26" s="160"/>
      <c r="F26" s="169" t="str">
        <f>IF(E33="","",IF(E33&lt;(E31+E32),"NOTA : a Área Condicionada deverá ser igual ou superior à soma de Quartos e Eventos",""))</f>
        <v/>
      </c>
    </row>
    <row r="27" spans="2:7">
      <c r="F27" s="169" t="str">
        <f>IF(E39&gt;G24,"NOTA : o n.º de UA ocupadas não pode ser superior ao n.º UA x 365 dias","")</f>
        <v/>
      </c>
    </row>
    <row r="28" spans="2:7" s="156" customFormat="1" ht="24.95" customHeight="1">
      <c r="C28" s="170" t="s">
        <v>363</v>
      </c>
      <c r="D28" s="171"/>
      <c r="E28" s="166"/>
    </row>
    <row r="29" spans="2:7" s="156" customFormat="1" ht="30" customHeight="1">
      <c r="C29" s="164" t="s">
        <v>343</v>
      </c>
      <c r="D29" s="165"/>
      <c r="E29" s="166"/>
    </row>
    <row r="30" spans="2:7" ht="20.100000000000001" customHeight="1" thickBot="1">
      <c r="B30" s="172" t="s">
        <v>8</v>
      </c>
      <c r="C30" s="173" t="s">
        <v>1</v>
      </c>
      <c r="D30" s="172" t="s">
        <v>3</v>
      </c>
      <c r="E30" s="172" t="s">
        <v>4</v>
      </c>
      <c r="F30" s="173" t="s">
        <v>2</v>
      </c>
      <c r="G30" s="173" t="s">
        <v>23</v>
      </c>
    </row>
    <row r="31" spans="2:7" s="156" customFormat="1" ht="36" customHeight="1">
      <c r="B31" s="174" t="s">
        <v>10</v>
      </c>
      <c r="C31" s="175" t="s">
        <v>339</v>
      </c>
      <c r="D31" s="174" t="s">
        <v>42</v>
      </c>
      <c r="E31" s="79"/>
      <c r="F31" s="176" t="s">
        <v>387</v>
      </c>
      <c r="G31" s="326" t="s">
        <v>390</v>
      </c>
    </row>
    <row r="32" spans="2:7" s="156" customFormat="1" ht="36" customHeight="1">
      <c r="B32" s="165" t="s">
        <v>9</v>
      </c>
      <c r="C32" s="177" t="s">
        <v>49</v>
      </c>
      <c r="D32" s="174" t="s">
        <v>42</v>
      </c>
      <c r="E32" s="80"/>
      <c r="F32" s="178" t="s">
        <v>384</v>
      </c>
      <c r="G32" s="327"/>
    </row>
    <row r="33" spans="2:7" s="156" customFormat="1" ht="36" customHeight="1">
      <c r="B33" s="174" t="s">
        <v>11</v>
      </c>
      <c r="C33" s="175" t="s">
        <v>261</v>
      </c>
      <c r="D33" s="174" t="s">
        <v>42</v>
      </c>
      <c r="E33" s="79"/>
      <c r="F33" s="179" t="s">
        <v>386</v>
      </c>
      <c r="G33" s="327"/>
    </row>
    <row r="34" spans="2:7" s="156" customFormat="1" ht="36" customHeight="1">
      <c r="B34" s="174" t="s">
        <v>12</v>
      </c>
      <c r="C34" s="175" t="s">
        <v>340</v>
      </c>
      <c r="D34" s="174" t="s">
        <v>6</v>
      </c>
      <c r="E34" s="79"/>
      <c r="F34" s="176" t="s">
        <v>385</v>
      </c>
      <c r="G34" s="328"/>
    </row>
    <row r="35" spans="2:7" ht="30" customHeight="1"/>
    <row r="36" spans="2:7" s="156" customFormat="1" ht="24.95" customHeight="1">
      <c r="C36" s="170" t="s">
        <v>364</v>
      </c>
      <c r="D36" s="171"/>
      <c r="E36" s="166"/>
    </row>
    <row r="37" spans="2:7" s="156" customFormat="1" ht="30" customHeight="1">
      <c r="C37" s="164" t="s">
        <v>344</v>
      </c>
      <c r="D37" s="165"/>
      <c r="E37" s="166"/>
    </row>
    <row r="38" spans="2:7" ht="20.100000000000001" customHeight="1" thickBot="1">
      <c r="B38" s="172" t="s">
        <v>8</v>
      </c>
      <c r="C38" s="173" t="s">
        <v>1</v>
      </c>
      <c r="D38" s="172" t="s">
        <v>3</v>
      </c>
      <c r="E38" s="172" t="s">
        <v>4</v>
      </c>
      <c r="F38" s="173" t="s">
        <v>2</v>
      </c>
      <c r="G38" s="173" t="s">
        <v>23</v>
      </c>
    </row>
    <row r="39" spans="2:7" s="156" customFormat="1" ht="54" customHeight="1">
      <c r="B39" s="174" t="s">
        <v>256</v>
      </c>
      <c r="C39" s="175" t="s">
        <v>327</v>
      </c>
      <c r="D39" s="174" t="s">
        <v>312</v>
      </c>
      <c r="E39" s="79"/>
      <c r="F39" s="179" t="s">
        <v>341</v>
      </c>
      <c r="G39" s="180" t="s">
        <v>272</v>
      </c>
    </row>
    <row r="40" spans="2:7" ht="30" customHeight="1"/>
    <row r="41" spans="2:7" s="156" customFormat="1" ht="24.95" customHeight="1">
      <c r="C41" s="170" t="s">
        <v>53</v>
      </c>
      <c r="D41" s="171"/>
      <c r="E41" s="166"/>
    </row>
    <row r="42" spans="2:7" s="156" customFormat="1" ht="30" customHeight="1">
      <c r="C42" s="164" t="s">
        <v>345</v>
      </c>
      <c r="D42" s="165"/>
      <c r="E42" s="166"/>
    </row>
    <row r="43" spans="2:7" s="156" customFormat="1" ht="21.95" customHeight="1">
      <c r="C43" s="164" t="s">
        <v>217</v>
      </c>
      <c r="D43" s="165"/>
      <c r="E43" s="166"/>
    </row>
    <row r="44" spans="2:7" ht="20.100000000000001" customHeight="1" thickBot="1">
      <c r="B44" s="172" t="s">
        <v>8</v>
      </c>
      <c r="C44" s="173" t="s">
        <v>1</v>
      </c>
      <c r="D44" s="172" t="s">
        <v>3</v>
      </c>
      <c r="E44" s="172" t="s">
        <v>4</v>
      </c>
      <c r="F44" s="173" t="s">
        <v>2</v>
      </c>
      <c r="G44" s="173" t="s">
        <v>273</v>
      </c>
    </row>
    <row r="45" spans="2:7" s="156" customFormat="1" ht="39.950000000000003" customHeight="1">
      <c r="B45" s="181" t="s">
        <v>14</v>
      </c>
      <c r="C45" s="182" t="s">
        <v>52</v>
      </c>
      <c r="D45" s="181" t="s">
        <v>32</v>
      </c>
      <c r="E45" s="81"/>
      <c r="F45" s="183" t="s">
        <v>378</v>
      </c>
      <c r="G45" s="184" t="s">
        <v>45</v>
      </c>
    </row>
    <row r="46" spans="2:7" s="156" customFormat="1" ht="36" customHeight="1">
      <c r="B46" s="337" t="s">
        <v>15</v>
      </c>
      <c r="C46" s="340" t="s">
        <v>46</v>
      </c>
      <c r="D46" s="185" t="s">
        <v>32</v>
      </c>
      <c r="E46" s="82"/>
      <c r="F46" s="333" t="s">
        <v>365</v>
      </c>
      <c r="G46" s="327" t="s">
        <v>50</v>
      </c>
    </row>
    <row r="47" spans="2:7" s="156" customFormat="1" ht="36" customHeight="1">
      <c r="B47" s="337"/>
      <c r="C47" s="340"/>
      <c r="D47" s="186" t="s">
        <v>51</v>
      </c>
      <c r="E47" s="83"/>
      <c r="F47" s="334"/>
      <c r="G47" s="331"/>
    </row>
    <row r="48" spans="2:7" s="156" customFormat="1" ht="36" customHeight="1">
      <c r="B48" s="338"/>
      <c r="C48" s="341"/>
      <c r="D48" s="187" t="s">
        <v>32</v>
      </c>
      <c r="E48" s="188">
        <f>IF(E46&gt;0,E46,IF(E47&gt;0,E47*11.424,0))</f>
        <v>0</v>
      </c>
      <c r="F48" s="189" t="s">
        <v>247</v>
      </c>
      <c r="G48" s="190" t="s">
        <v>274</v>
      </c>
    </row>
    <row r="49" spans="2:7" s="156" customFormat="1" ht="30" customHeight="1">
      <c r="B49" s="336" t="s">
        <v>16</v>
      </c>
      <c r="C49" s="339" t="s">
        <v>47</v>
      </c>
      <c r="D49" s="186" t="s">
        <v>32</v>
      </c>
      <c r="E49" s="84"/>
      <c r="F49" s="332" t="s">
        <v>391</v>
      </c>
      <c r="G49" s="335" t="s">
        <v>50</v>
      </c>
    </row>
    <row r="50" spans="2:7" s="156" customFormat="1" ht="30" customHeight="1">
      <c r="B50" s="337"/>
      <c r="C50" s="340"/>
      <c r="D50" s="186" t="s">
        <v>51</v>
      </c>
      <c r="E50" s="84"/>
      <c r="F50" s="333"/>
      <c r="G50" s="327"/>
    </row>
    <row r="51" spans="2:7" s="156" customFormat="1" ht="30" customHeight="1">
      <c r="B51" s="337"/>
      <c r="C51" s="340"/>
      <c r="D51" s="191" t="s">
        <v>33</v>
      </c>
      <c r="E51" s="83"/>
      <c r="F51" s="334"/>
      <c r="G51" s="331"/>
    </row>
    <row r="52" spans="2:7" s="156" customFormat="1" ht="36" customHeight="1">
      <c r="B52" s="338"/>
      <c r="C52" s="341"/>
      <c r="D52" s="187" t="s">
        <v>32</v>
      </c>
      <c r="E52" s="188">
        <f>IF(E49&gt;0,E49,IF(E50&gt;0,E50*23.91,IF(E51&gt;0,E51*12.86,0)))</f>
        <v>0</v>
      </c>
      <c r="F52" s="189" t="s">
        <v>383</v>
      </c>
      <c r="G52" s="192" t="s">
        <v>275</v>
      </c>
    </row>
    <row r="53" spans="2:7" s="156" customFormat="1" ht="39.6" customHeight="1">
      <c r="B53" s="193" t="s">
        <v>17</v>
      </c>
      <c r="C53" s="194" t="s">
        <v>48</v>
      </c>
      <c r="D53" s="195" t="s">
        <v>34</v>
      </c>
      <c r="E53" s="85"/>
      <c r="F53" s="196" t="s">
        <v>347</v>
      </c>
      <c r="G53" s="197" t="s">
        <v>252</v>
      </c>
    </row>
    <row r="54" spans="2:7" s="156" customFormat="1" ht="39.950000000000003" customHeight="1">
      <c r="B54" s="174" t="s">
        <v>18</v>
      </c>
      <c r="C54" s="198" t="s">
        <v>30</v>
      </c>
      <c r="D54" s="174" t="s">
        <v>34</v>
      </c>
      <c r="E54" s="79"/>
      <c r="F54" s="199" t="s">
        <v>348</v>
      </c>
      <c r="G54" s="197" t="s">
        <v>253</v>
      </c>
    </row>
    <row r="55" spans="2:7" s="156" customFormat="1" ht="39.950000000000003" customHeight="1">
      <c r="B55" s="174" t="s">
        <v>19</v>
      </c>
      <c r="C55" s="198" t="s">
        <v>7</v>
      </c>
      <c r="D55" s="174" t="s">
        <v>34</v>
      </c>
      <c r="E55" s="79"/>
      <c r="F55" s="199" t="s">
        <v>349</v>
      </c>
      <c r="G55" s="200" t="s">
        <v>253</v>
      </c>
    </row>
    <row r="56" spans="2:7" s="156" customFormat="1" ht="39.950000000000003" customHeight="1">
      <c r="B56" s="174" t="s">
        <v>21</v>
      </c>
      <c r="C56" s="198" t="s">
        <v>31</v>
      </c>
      <c r="D56" s="174" t="s">
        <v>32</v>
      </c>
      <c r="E56" s="79"/>
      <c r="F56" s="179" t="s">
        <v>379</v>
      </c>
      <c r="G56" s="197" t="s">
        <v>252</v>
      </c>
    </row>
    <row r="57" spans="2:7" ht="30" customHeight="1"/>
    <row r="58" spans="2:7" s="156" customFormat="1" ht="24.95" customHeight="1">
      <c r="C58" s="170" t="s">
        <v>54</v>
      </c>
      <c r="D58" s="171"/>
      <c r="E58" s="166"/>
    </row>
    <row r="59" spans="2:7" s="156" customFormat="1" ht="30" customHeight="1">
      <c r="C59" s="164" t="s">
        <v>366</v>
      </c>
      <c r="D59" s="165"/>
      <c r="E59" s="166"/>
    </row>
    <row r="60" spans="2:7" ht="20.100000000000001" customHeight="1" thickBot="1">
      <c r="B60" s="172" t="s">
        <v>8</v>
      </c>
      <c r="C60" s="173" t="s">
        <v>1</v>
      </c>
      <c r="D60" s="172" t="s">
        <v>3</v>
      </c>
      <c r="E60" s="172" t="s">
        <v>4</v>
      </c>
      <c r="F60" s="173" t="s">
        <v>2</v>
      </c>
      <c r="G60" s="173" t="s">
        <v>23</v>
      </c>
    </row>
    <row r="61" spans="2:7" s="156" customFormat="1" ht="54.95" customHeight="1">
      <c r="B61" s="174" t="s">
        <v>24</v>
      </c>
      <c r="C61" s="198" t="s">
        <v>22</v>
      </c>
      <c r="D61" s="174" t="s">
        <v>32</v>
      </c>
      <c r="E61" s="79"/>
      <c r="F61" s="201" t="s">
        <v>302</v>
      </c>
      <c r="G61" s="201" t="s">
        <v>254</v>
      </c>
    </row>
    <row r="62" spans="2:7" s="156" customFormat="1" ht="36" customHeight="1">
      <c r="B62" s="174" t="s">
        <v>25</v>
      </c>
      <c r="C62" s="198" t="s">
        <v>20</v>
      </c>
      <c r="D62" s="174" t="s">
        <v>32</v>
      </c>
      <c r="E62" s="79"/>
      <c r="F62" s="199" t="s">
        <v>248</v>
      </c>
      <c r="G62" s="180" t="s">
        <v>255</v>
      </c>
    </row>
    <row r="63" spans="2:7" ht="30" customHeight="1">
      <c r="E63" s="202" t="str">
        <f>IF(E61&gt;E45,"NOTA: o consumo de Energia Renovável não pode ser superior ao registado na linha E45","")</f>
        <v/>
      </c>
    </row>
    <row r="64" spans="2:7" s="156" customFormat="1" ht="24.95" customHeight="1">
      <c r="C64" s="203" t="s">
        <v>55</v>
      </c>
      <c r="D64" s="204"/>
      <c r="E64" s="166"/>
    </row>
    <row r="65" spans="1:7">
      <c r="C65" s="205"/>
    </row>
    <row r="66" spans="1:7" ht="18.75">
      <c r="B66" s="206" t="s">
        <v>27</v>
      </c>
      <c r="C66" s="207" t="s">
        <v>367</v>
      </c>
    </row>
    <row r="67" spans="1:7" ht="20.100000000000001" customHeight="1" thickBot="1">
      <c r="B67" s="208" t="s">
        <v>8</v>
      </c>
      <c r="C67" s="209" t="s">
        <v>63</v>
      </c>
      <c r="D67" s="210" t="s">
        <v>64</v>
      </c>
      <c r="E67" s="210" t="s">
        <v>65</v>
      </c>
      <c r="F67" s="211" t="s">
        <v>66</v>
      </c>
    </row>
    <row r="68" spans="1:7" s="156" customFormat="1" ht="68.099999999999994" customHeight="1">
      <c r="B68" s="212" t="s">
        <v>249</v>
      </c>
      <c r="C68" s="213" t="s">
        <v>388</v>
      </c>
      <c r="D68" s="86"/>
      <c r="E68" s="214" t="str">
        <f>IF(D68="","",IF(D68="SIM","Responda a QE1.2","Siga para E2 e responda a QE2.1 [Linha 91]"))</f>
        <v/>
      </c>
      <c r="F68" s="215" t="s">
        <v>399</v>
      </c>
    </row>
    <row r="69" spans="1:7" s="156" customFormat="1" ht="68.099999999999994" customHeight="1">
      <c r="B69" s="212" t="s">
        <v>250</v>
      </c>
      <c r="C69" s="213" t="str">
        <f>IF(D68="SIM","Está disponível a medição de consumos de energia nestes espaços reservados ?","")</f>
        <v/>
      </c>
      <c r="D69" s="86"/>
      <c r="E69" s="214" t="str">
        <f>IF(D69="","",IF(D69="SIM","Clique sobre o sinal MAIS (+), na barra lateral à esquerda [junto à Linha 87]","Preencha os Dados relativos a E1.1 [Linha 72]"))</f>
        <v/>
      </c>
      <c r="F69" s="216" t="str">
        <f>IF(D68="SIM","Responda SIM se estiverem disponíveis dados relativos ao consumo de energia do espaço reservado, caso seja possível individualizá-los relativamente ao consumo total do estabelecimento através de contador(es) próprio(s) ou medidores do consumo de energia)","")</f>
        <v/>
      </c>
    </row>
    <row r="70" spans="1:7" s="156" customFormat="1" ht="23.45" customHeight="1">
      <c r="B70" s="217"/>
      <c r="C70" s="218"/>
      <c r="D70" s="157"/>
      <c r="E70" s="219"/>
      <c r="F70" s="220"/>
    </row>
    <row r="71" spans="1:7" s="156" customFormat="1" ht="19.7" customHeight="1" thickBot="1">
      <c r="B71" s="210" t="s">
        <v>8</v>
      </c>
      <c r="C71" s="209" t="s">
        <v>1</v>
      </c>
      <c r="D71" s="210" t="s">
        <v>3</v>
      </c>
      <c r="E71" s="210" t="s">
        <v>4</v>
      </c>
      <c r="F71" s="209" t="s">
        <v>2</v>
      </c>
      <c r="G71" s="209" t="s">
        <v>368</v>
      </c>
    </row>
    <row r="72" spans="1:7" s="156" customFormat="1" ht="75.95" customHeight="1">
      <c r="B72" s="221" t="s">
        <v>37</v>
      </c>
      <c r="C72" s="222" t="str">
        <f>IF(D69="","",IF(D69="NÃO","Área relativa a espaços reservados",""))</f>
        <v/>
      </c>
      <c r="D72" s="221" t="s">
        <v>216</v>
      </c>
      <c r="E72" s="87"/>
      <c r="F72" s="223" t="str">
        <f>IF(D69="NÃO","Área total relativa aos espaços designados como de uso reservado, em metros quadrados (m2). ","")</f>
        <v/>
      </c>
      <c r="G72" s="224" t="s">
        <v>389</v>
      </c>
    </row>
    <row r="73" spans="1:7" s="228" customFormat="1" ht="16.350000000000001" customHeight="1">
      <c r="A73" s="156"/>
      <c r="B73" s="217"/>
      <c r="C73" s="225"/>
      <c r="D73" s="217"/>
      <c r="E73" s="226">
        <f>IF(E33-(E31+E32)&lt;0,"",E33-(E31+E32))</f>
        <v>0</v>
      </c>
      <c r="F73" s="227" t="str">
        <f>IF(E72&gt;E73,"NOTA: a Área Reservada não pode ser superior à diferença entre a Área Condicionada e a soma das Áreas de UA e Eventos","")</f>
        <v/>
      </c>
    </row>
    <row r="74" spans="1:7" ht="18.75" hidden="1" outlineLevel="1">
      <c r="B74" s="165"/>
      <c r="C74" s="229" t="s">
        <v>369</v>
      </c>
    </row>
    <row r="75" spans="1:7" s="156" customFormat="1" ht="27.95" hidden="1" customHeight="1" outlineLevel="1">
      <c r="C75" s="164" t="s">
        <v>380</v>
      </c>
      <c r="D75" s="165"/>
      <c r="E75" s="166"/>
    </row>
    <row r="76" spans="1:7" s="230" customFormat="1" ht="42.95" hidden="1" customHeight="1" outlineLevel="1">
      <c r="C76" s="325" t="s">
        <v>381</v>
      </c>
      <c r="D76" s="325"/>
      <c r="E76" s="325"/>
      <c r="F76" s="325"/>
      <c r="G76" s="325"/>
    </row>
    <row r="77" spans="1:7" ht="15.6" hidden="1" customHeight="1" outlineLevel="1" thickBot="1">
      <c r="B77" s="210" t="s">
        <v>8</v>
      </c>
      <c r="C77" s="209" t="s">
        <v>1</v>
      </c>
      <c r="D77" s="210" t="s">
        <v>3</v>
      </c>
      <c r="E77" s="210" t="s">
        <v>4</v>
      </c>
      <c r="F77" s="209" t="s">
        <v>2</v>
      </c>
      <c r="G77" s="209" t="s">
        <v>273</v>
      </c>
    </row>
    <row r="78" spans="1:7" s="156" customFormat="1" ht="35.1" hidden="1" customHeight="1" outlineLevel="1">
      <c r="B78" s="221" t="s">
        <v>38</v>
      </c>
      <c r="C78" s="231" t="s">
        <v>370</v>
      </c>
      <c r="D78" s="232" t="s">
        <v>32</v>
      </c>
      <c r="E78" s="86"/>
      <c r="F78" s="224" t="s">
        <v>375</v>
      </c>
      <c r="G78" s="233" t="s">
        <v>45</v>
      </c>
    </row>
    <row r="79" spans="1:7" s="156" customFormat="1" ht="35.1" hidden="1" customHeight="1" outlineLevel="1">
      <c r="B79" s="352" t="s">
        <v>39</v>
      </c>
      <c r="C79" s="354" t="s">
        <v>371</v>
      </c>
      <c r="D79" s="234" t="s">
        <v>32</v>
      </c>
      <c r="E79" s="108"/>
      <c r="F79" s="346" t="s">
        <v>374</v>
      </c>
      <c r="G79" s="346" t="s">
        <v>50</v>
      </c>
    </row>
    <row r="80" spans="1:7" s="156" customFormat="1" ht="35.1" hidden="1" customHeight="1" outlineLevel="1">
      <c r="B80" s="337"/>
      <c r="C80" s="355"/>
      <c r="D80" s="235" t="s">
        <v>51</v>
      </c>
      <c r="E80" s="106"/>
      <c r="F80" s="348"/>
      <c r="G80" s="348"/>
    </row>
    <row r="81" spans="2:7" s="156" customFormat="1" ht="35.1" hidden="1" customHeight="1" outlineLevel="1">
      <c r="B81" s="353"/>
      <c r="C81" s="356"/>
      <c r="D81" s="217" t="s">
        <v>32</v>
      </c>
      <c r="E81" s="236">
        <f>IF(E79&gt;0,E79,IF(E80&gt;0,E80*11.424,0))</f>
        <v>0</v>
      </c>
      <c r="F81" s="237" t="s">
        <v>218</v>
      </c>
      <c r="G81" s="237" t="s">
        <v>274</v>
      </c>
    </row>
    <row r="82" spans="2:7" s="156" customFormat="1" ht="35.1" hidden="1" customHeight="1" outlineLevel="1">
      <c r="B82" s="337" t="s">
        <v>40</v>
      </c>
      <c r="C82" s="340" t="s">
        <v>372</v>
      </c>
      <c r="D82" s="234" t="s">
        <v>32</v>
      </c>
      <c r="E82" s="108"/>
      <c r="F82" s="346" t="s">
        <v>376</v>
      </c>
      <c r="G82" s="349" t="s">
        <v>50</v>
      </c>
    </row>
    <row r="83" spans="2:7" s="156" customFormat="1" ht="35.1" hidden="1" customHeight="1" outlineLevel="1">
      <c r="B83" s="337"/>
      <c r="C83" s="340"/>
      <c r="D83" s="238" t="s">
        <v>51</v>
      </c>
      <c r="E83" s="110"/>
      <c r="F83" s="347"/>
      <c r="G83" s="350"/>
    </row>
    <row r="84" spans="2:7" s="156" customFormat="1" ht="35.1" hidden="1" customHeight="1" outlineLevel="1">
      <c r="B84" s="337"/>
      <c r="C84" s="340"/>
      <c r="D84" s="239" t="s">
        <v>33</v>
      </c>
      <c r="E84" s="109"/>
      <c r="F84" s="348"/>
      <c r="G84" s="351"/>
    </row>
    <row r="85" spans="2:7" s="156" customFormat="1" ht="35.1" hidden="1" customHeight="1" outlineLevel="1">
      <c r="B85" s="337"/>
      <c r="C85" s="340"/>
      <c r="D85" s="217" t="s">
        <v>32</v>
      </c>
      <c r="E85" s="240">
        <f>IF(E82&gt;0,E82,IF(E83&gt;0,E83*23.91,IF(E84&gt;0,E84*12.86,0)))</f>
        <v>0</v>
      </c>
      <c r="F85" s="241" t="s">
        <v>219</v>
      </c>
      <c r="G85" s="242" t="s">
        <v>275</v>
      </c>
    </row>
    <row r="86" spans="2:7" s="156" customFormat="1" ht="35.1" hidden="1" customHeight="1" outlineLevel="1">
      <c r="B86" s="243" t="s">
        <v>41</v>
      </c>
      <c r="C86" s="244" t="s">
        <v>373</v>
      </c>
      <c r="D86" s="243" t="s">
        <v>34</v>
      </c>
      <c r="E86" s="107"/>
      <c r="F86" s="245" t="s">
        <v>377</v>
      </c>
      <c r="G86" s="246"/>
    </row>
    <row r="87" spans="2:7" collapsed="1">
      <c r="C87" s="205"/>
    </row>
    <row r="88" spans="2:7">
      <c r="C88" s="205"/>
    </row>
    <row r="89" spans="2:7" ht="18.75">
      <c r="B89" s="206" t="s">
        <v>28</v>
      </c>
      <c r="C89" s="207" t="s">
        <v>43</v>
      </c>
    </row>
    <row r="90" spans="2:7" ht="16.5" thickBot="1">
      <c r="B90" s="208" t="s">
        <v>8</v>
      </c>
      <c r="C90" s="209" t="s">
        <v>63</v>
      </c>
      <c r="D90" s="210" t="s">
        <v>64</v>
      </c>
      <c r="E90" s="247" t="s">
        <v>65</v>
      </c>
    </row>
    <row r="91" spans="2:7" s="156" customFormat="1" ht="68.099999999999994" customHeight="1">
      <c r="B91" s="212" t="s">
        <v>57</v>
      </c>
      <c r="C91" s="213" t="s">
        <v>26</v>
      </c>
      <c r="D91" s="86"/>
      <c r="E91" s="248" t="str">
        <f>IF(D91="","",IF(D91="SIM","Responda a QE2.2","Siga para E3 e responda a QE3 [Linha 103]"))</f>
        <v/>
      </c>
      <c r="F91" s="220"/>
    </row>
    <row r="92" spans="2:7" ht="47.25">
      <c r="B92" s="212" t="s">
        <v>251</v>
      </c>
      <c r="C92" s="213" t="s">
        <v>398</v>
      </c>
      <c r="D92" s="86"/>
      <c r="E92" s="248" t="str">
        <f>IF(D92="","",IF(D92="SIM","Preencha os Dados relativos a E2.1, E2.2 e E2.3 [Linhas 95 a 97]","Preencha os Dados relativos a E2.4 [Linha 98]"))</f>
        <v/>
      </c>
      <c r="F92" s="249"/>
    </row>
    <row r="93" spans="2:7" ht="15" customHeight="1">
      <c r="B93" s="250"/>
      <c r="C93" s="251"/>
      <c r="D93" s="251"/>
      <c r="E93" s="252"/>
      <c r="F93" s="249"/>
    </row>
    <row r="94" spans="2:7" ht="20.100000000000001" customHeight="1" thickBot="1">
      <c r="B94" s="210" t="s">
        <v>8</v>
      </c>
      <c r="C94" s="209" t="s">
        <v>1</v>
      </c>
      <c r="D94" s="210" t="s">
        <v>3</v>
      </c>
      <c r="E94" s="210" t="s">
        <v>4</v>
      </c>
      <c r="F94" s="209" t="s">
        <v>2</v>
      </c>
      <c r="G94" s="209" t="s">
        <v>23</v>
      </c>
    </row>
    <row r="95" spans="2:7" s="156" customFormat="1" ht="39" customHeight="1">
      <c r="B95" s="253" t="s">
        <v>58</v>
      </c>
      <c r="C95" s="254" t="str">
        <f>IF(D92="SIM","Consumo de eletricidade associado ao serviço de lavandaria","")</f>
        <v/>
      </c>
      <c r="D95" s="253" t="s">
        <v>32</v>
      </c>
      <c r="E95" s="88"/>
      <c r="F95" s="255" t="str">
        <f>IF(D92="SIM","Consumo de eletricidade na lavandaria associado ao serviço que é prestado ao estabelecimento, durante os 12 meses do período de reporte, em kWh.","")</f>
        <v/>
      </c>
      <c r="G95" s="242" t="str">
        <f>IF(D92="SIM","Informação do prestador de serviços","")</f>
        <v/>
      </c>
    </row>
    <row r="96" spans="2:7" s="156" customFormat="1" ht="39" customHeight="1">
      <c r="B96" s="221" t="s">
        <v>59</v>
      </c>
      <c r="C96" s="256" t="str">
        <f>IF(D92="SIM","Consumo de gás natural associado ao serviço de lavandaria","")</f>
        <v/>
      </c>
      <c r="D96" s="221" t="s">
        <v>32</v>
      </c>
      <c r="E96" s="87"/>
      <c r="F96" s="257" t="str">
        <f>IF(D92="SIM","Consumo de gás natural na lavandaria associado ao serviço que é prestado ao estabelecimento, durante os 12 meses do período de reporte, em kWh.","")</f>
        <v/>
      </c>
      <c r="G96" s="233" t="str">
        <f>IF(D92="SIM","Informação do prestador de serviços","")</f>
        <v/>
      </c>
    </row>
    <row r="97" spans="2:7" s="156" customFormat="1" ht="39" customHeight="1">
      <c r="B97" s="221" t="s">
        <v>225</v>
      </c>
      <c r="C97" s="254" t="str">
        <f>IF(D92="SIM","Consumo de gasóleo associado ao serviço de lavandaria","")</f>
        <v/>
      </c>
      <c r="D97" s="221" t="s">
        <v>32</v>
      </c>
      <c r="E97" s="87"/>
      <c r="F97" s="257" t="str">
        <f>IF(D92="SIM","Consumo de gasóleo na lavandaria associado ao serviço que é prestado ao estabelecimento, durante os 12 meses do período de reporte, em kWh.","")</f>
        <v/>
      </c>
      <c r="G97" s="233" t="str">
        <f>IF(D92="SIM","Informação do prestador de serviços","")</f>
        <v/>
      </c>
    </row>
    <row r="98" spans="2:7" s="156" customFormat="1" ht="36" customHeight="1">
      <c r="B98" s="221" t="s">
        <v>226</v>
      </c>
      <c r="C98" s="222" t="str">
        <f>IF(D92="NÃO","Volume de roupa enviado para a lavandaria","")</f>
        <v/>
      </c>
      <c r="D98" s="221" t="s">
        <v>298</v>
      </c>
      <c r="E98" s="87"/>
      <c r="F98" s="257" t="str">
        <f>IF(D92="NÃO","Volume total de roupa enviado para a lavandaria, nos 12 meses do período de reporte, em toneladas (t).","")</f>
        <v/>
      </c>
      <c r="G98" s="233" t="str">
        <f>IF(D92="NÃO","Informação dos serviços do hotel ou do prestador de serviços","")</f>
        <v/>
      </c>
    </row>
    <row r="99" spans="2:7">
      <c r="C99" s="205"/>
    </row>
    <row r="100" spans="2:7">
      <c r="C100" s="205"/>
    </row>
    <row r="101" spans="2:7" ht="18.75">
      <c r="B101" s="206" t="s">
        <v>29</v>
      </c>
      <c r="C101" s="207" t="s">
        <v>60</v>
      </c>
    </row>
    <row r="102" spans="2:7" ht="16.5" thickBot="1">
      <c r="B102" s="208" t="s">
        <v>8</v>
      </c>
      <c r="C102" s="209" t="s">
        <v>68</v>
      </c>
      <c r="D102" s="210" t="s">
        <v>69</v>
      </c>
      <c r="E102" s="247" t="s">
        <v>65</v>
      </c>
    </row>
    <row r="103" spans="2:7" s="156" customFormat="1" ht="87.95" customHeight="1">
      <c r="B103" s="212" t="s">
        <v>62</v>
      </c>
      <c r="C103" s="213" t="s">
        <v>61</v>
      </c>
      <c r="D103" s="86"/>
      <c r="E103" s="248" t="str">
        <f>IF(D103="","",IF(D103="SIM","Clique sobre o sinal MAIS (+), na barra lateral à esquerda [junto à Linha 196] e responda a QE3.1","Siga para F [Linha 199]"))</f>
        <v/>
      </c>
      <c r="F103" s="258"/>
    </row>
    <row r="104" spans="2:7">
      <c r="C104" s="205"/>
    </row>
    <row r="105" spans="2:7" ht="17.100000000000001" hidden="1" customHeight="1" outlineLevel="1" thickBot="1">
      <c r="B105" s="208" t="s">
        <v>8</v>
      </c>
      <c r="C105" s="209" t="s">
        <v>68</v>
      </c>
      <c r="D105" s="210" t="s">
        <v>69</v>
      </c>
      <c r="E105" s="247" t="s">
        <v>65</v>
      </c>
    </row>
    <row r="106" spans="2:7" s="156" customFormat="1" ht="68.099999999999994" hidden="1" customHeight="1" outlineLevel="1">
      <c r="B106" s="212" t="s">
        <v>67</v>
      </c>
      <c r="C106" s="213" t="s">
        <v>382</v>
      </c>
      <c r="D106" s="86"/>
      <c r="E106" s="248" t="str">
        <f>IF(D106="","",IF(D106="SIM","Preencha a tabela abaixo","Se souber os consumos dos gases utilizados preencha a tabela abaixo, se não siga para F [Linha 201]"))</f>
        <v/>
      </c>
      <c r="F106" s="258"/>
    </row>
    <row r="107" spans="2:7" ht="15" hidden="1" customHeight="1" outlineLevel="1">
      <c r="B107" s="250"/>
      <c r="C107" s="251"/>
      <c r="D107" s="251"/>
      <c r="E107" s="252"/>
      <c r="F107" s="249"/>
    </row>
    <row r="108" spans="2:7" ht="20.100000000000001" hidden="1" customHeight="1" outlineLevel="1" thickBot="1">
      <c r="B108" s="210"/>
      <c r="C108" s="209" t="s">
        <v>1</v>
      </c>
      <c r="D108" s="210" t="s">
        <v>3</v>
      </c>
      <c r="E108" s="210" t="s">
        <v>4</v>
      </c>
      <c r="F108" s="209" t="s">
        <v>2</v>
      </c>
      <c r="G108" s="209" t="s">
        <v>23</v>
      </c>
    </row>
    <row r="109" spans="2:7" s="156" customFormat="1" ht="18" hidden="1" customHeight="1" outlineLevel="1">
      <c r="B109" s="253"/>
      <c r="C109" s="254" t="s">
        <v>190</v>
      </c>
      <c r="D109" s="259" t="s">
        <v>33</v>
      </c>
      <c r="E109" s="111"/>
      <c r="F109" s="260" t="s">
        <v>172</v>
      </c>
      <c r="G109" s="261" t="s">
        <v>149</v>
      </c>
    </row>
    <row r="110" spans="2:7" s="156" customFormat="1" ht="18" hidden="1" customHeight="1" outlineLevel="1">
      <c r="B110" s="221"/>
      <c r="C110" s="222" t="s">
        <v>70</v>
      </c>
      <c r="D110" s="262" t="s">
        <v>33</v>
      </c>
      <c r="E110" s="112"/>
      <c r="F110" s="223" t="s">
        <v>172</v>
      </c>
      <c r="G110" s="263" t="s">
        <v>149</v>
      </c>
    </row>
    <row r="111" spans="2:7" s="156" customFormat="1" ht="18" hidden="1" customHeight="1" outlineLevel="1">
      <c r="B111" s="221"/>
      <c r="C111" s="222" t="s">
        <v>71</v>
      </c>
      <c r="D111" s="262" t="s">
        <v>33</v>
      </c>
      <c r="E111" s="112"/>
      <c r="F111" s="223" t="s">
        <v>172</v>
      </c>
      <c r="G111" s="263" t="s">
        <v>149</v>
      </c>
    </row>
    <row r="112" spans="2:7" s="156" customFormat="1" ht="18" hidden="1" customHeight="1" outlineLevel="1">
      <c r="B112" s="221"/>
      <c r="C112" s="222" t="s">
        <v>72</v>
      </c>
      <c r="D112" s="262" t="s">
        <v>33</v>
      </c>
      <c r="E112" s="112"/>
      <c r="F112" s="223" t="s">
        <v>172</v>
      </c>
      <c r="G112" s="263" t="s">
        <v>149</v>
      </c>
    </row>
    <row r="113" spans="2:7" s="156" customFormat="1" ht="18" hidden="1" customHeight="1" outlineLevel="1">
      <c r="B113" s="222" t="s">
        <v>193</v>
      </c>
      <c r="D113" s="264"/>
      <c r="E113" s="265"/>
      <c r="F113" s="223"/>
      <c r="G113" s="263"/>
    </row>
    <row r="114" spans="2:7" s="156" customFormat="1" ht="18" hidden="1" customHeight="1" outlineLevel="1">
      <c r="B114" s="221"/>
      <c r="C114" s="222" t="s">
        <v>206</v>
      </c>
      <c r="D114" s="262" t="s">
        <v>33</v>
      </c>
      <c r="E114" s="112"/>
      <c r="F114" s="223" t="s">
        <v>172</v>
      </c>
      <c r="G114" s="263" t="s">
        <v>149</v>
      </c>
    </row>
    <row r="115" spans="2:7" s="156" customFormat="1" ht="18" hidden="1" customHeight="1" outlineLevel="1">
      <c r="B115" s="221"/>
      <c r="C115" s="222" t="s">
        <v>207</v>
      </c>
      <c r="D115" s="262" t="s">
        <v>33</v>
      </c>
      <c r="E115" s="112"/>
      <c r="F115" s="223" t="s">
        <v>172</v>
      </c>
      <c r="G115" s="263" t="s">
        <v>149</v>
      </c>
    </row>
    <row r="116" spans="2:7" s="156" customFormat="1" ht="18" hidden="1" customHeight="1" outlineLevel="1">
      <c r="B116" s="221"/>
      <c r="C116" s="222" t="s">
        <v>73</v>
      </c>
      <c r="D116" s="262" t="s">
        <v>33</v>
      </c>
      <c r="E116" s="112"/>
      <c r="F116" s="223" t="s">
        <v>172</v>
      </c>
      <c r="G116" s="263" t="s">
        <v>149</v>
      </c>
    </row>
    <row r="117" spans="2:7" s="156" customFormat="1" ht="18" hidden="1" customHeight="1" outlineLevel="1">
      <c r="B117" s="221"/>
      <c r="C117" s="222" t="s">
        <v>74</v>
      </c>
      <c r="D117" s="262" t="s">
        <v>33</v>
      </c>
      <c r="E117" s="112"/>
      <c r="F117" s="223" t="s">
        <v>172</v>
      </c>
      <c r="G117" s="263" t="s">
        <v>149</v>
      </c>
    </row>
    <row r="118" spans="2:7" s="156" customFormat="1" ht="18" hidden="1" customHeight="1" outlineLevel="1">
      <c r="B118" s="221"/>
      <c r="C118" s="222" t="s">
        <v>75</v>
      </c>
      <c r="D118" s="262" t="s">
        <v>33</v>
      </c>
      <c r="E118" s="112"/>
      <c r="F118" s="223" t="s">
        <v>172</v>
      </c>
      <c r="G118" s="263" t="s">
        <v>149</v>
      </c>
    </row>
    <row r="119" spans="2:7" s="156" customFormat="1" ht="18" hidden="1" customHeight="1" outlineLevel="1">
      <c r="B119" s="221"/>
      <c r="C119" s="222" t="s">
        <v>76</v>
      </c>
      <c r="D119" s="262" t="s">
        <v>33</v>
      </c>
      <c r="E119" s="112"/>
      <c r="F119" s="223" t="s">
        <v>172</v>
      </c>
      <c r="G119" s="263" t="s">
        <v>149</v>
      </c>
    </row>
    <row r="120" spans="2:7" s="156" customFormat="1" ht="18" hidden="1" customHeight="1" outlineLevel="1">
      <c r="B120" s="221"/>
      <c r="C120" s="222" t="s">
        <v>208</v>
      </c>
      <c r="D120" s="262" t="s">
        <v>33</v>
      </c>
      <c r="E120" s="112"/>
      <c r="F120" s="223" t="s">
        <v>172</v>
      </c>
      <c r="G120" s="263" t="s">
        <v>149</v>
      </c>
    </row>
    <row r="121" spans="2:7" s="156" customFormat="1" ht="18" hidden="1" customHeight="1" outlineLevel="1">
      <c r="B121" s="221"/>
      <c r="C121" s="222" t="s">
        <v>77</v>
      </c>
      <c r="D121" s="262" t="s">
        <v>33</v>
      </c>
      <c r="E121" s="112"/>
      <c r="F121" s="223" t="s">
        <v>172</v>
      </c>
      <c r="G121" s="263" t="s">
        <v>149</v>
      </c>
    </row>
    <row r="122" spans="2:7" s="156" customFormat="1" ht="18" hidden="1" customHeight="1" outlineLevel="1">
      <c r="B122" s="221"/>
      <c r="C122" s="222" t="s">
        <v>78</v>
      </c>
      <c r="D122" s="262" t="s">
        <v>33</v>
      </c>
      <c r="E122" s="112"/>
      <c r="F122" s="223" t="s">
        <v>172</v>
      </c>
      <c r="G122" s="263" t="s">
        <v>149</v>
      </c>
    </row>
    <row r="123" spans="2:7" s="156" customFormat="1" ht="18" hidden="1" customHeight="1" outlineLevel="1">
      <c r="B123" s="221"/>
      <c r="C123" s="222" t="s">
        <v>79</v>
      </c>
      <c r="D123" s="262" t="s">
        <v>33</v>
      </c>
      <c r="E123" s="112"/>
      <c r="F123" s="223" t="s">
        <v>172</v>
      </c>
      <c r="G123" s="263" t="s">
        <v>149</v>
      </c>
    </row>
    <row r="124" spans="2:7" s="156" customFormat="1" ht="18" hidden="1" customHeight="1" outlineLevel="1">
      <c r="B124" s="221"/>
      <c r="C124" s="222" t="s">
        <v>80</v>
      </c>
      <c r="D124" s="262" t="s">
        <v>33</v>
      </c>
      <c r="E124" s="112"/>
      <c r="F124" s="223" t="s">
        <v>172</v>
      </c>
      <c r="G124" s="263" t="s">
        <v>149</v>
      </c>
    </row>
    <row r="125" spans="2:7" s="156" customFormat="1" ht="18" hidden="1" customHeight="1" outlineLevel="1">
      <c r="B125" s="221"/>
      <c r="C125" s="222" t="s">
        <v>81</v>
      </c>
      <c r="D125" s="262" t="s">
        <v>33</v>
      </c>
      <c r="E125" s="112"/>
      <c r="F125" s="223" t="s">
        <v>172</v>
      </c>
      <c r="G125" s="263" t="s">
        <v>149</v>
      </c>
    </row>
    <row r="126" spans="2:7" s="156" customFormat="1" ht="18" hidden="1" customHeight="1" outlineLevel="1">
      <c r="B126" s="221"/>
      <c r="C126" s="222" t="s">
        <v>82</v>
      </c>
      <c r="D126" s="262" t="s">
        <v>33</v>
      </c>
      <c r="E126" s="112"/>
      <c r="F126" s="223" t="s">
        <v>172</v>
      </c>
      <c r="G126" s="263" t="s">
        <v>149</v>
      </c>
    </row>
    <row r="127" spans="2:7" s="156" customFormat="1" ht="18" hidden="1" customHeight="1" outlineLevel="1">
      <c r="B127" s="221"/>
      <c r="C127" s="222" t="s">
        <v>83</v>
      </c>
      <c r="D127" s="262" t="s">
        <v>33</v>
      </c>
      <c r="E127" s="112"/>
      <c r="F127" s="223" t="s">
        <v>172</v>
      </c>
      <c r="G127" s="263" t="s">
        <v>149</v>
      </c>
    </row>
    <row r="128" spans="2:7" s="156" customFormat="1" ht="18" hidden="1" customHeight="1" outlineLevel="1">
      <c r="B128" s="221"/>
      <c r="C128" s="222" t="s">
        <v>84</v>
      </c>
      <c r="D128" s="262" t="s">
        <v>33</v>
      </c>
      <c r="E128" s="112"/>
      <c r="F128" s="223" t="s">
        <v>172</v>
      </c>
      <c r="G128" s="263" t="s">
        <v>149</v>
      </c>
    </row>
    <row r="129" spans="2:7" s="156" customFormat="1" ht="18" hidden="1" customHeight="1" outlineLevel="1">
      <c r="B129" s="221"/>
      <c r="C129" s="222" t="s">
        <v>85</v>
      </c>
      <c r="D129" s="262" t="s">
        <v>33</v>
      </c>
      <c r="E129" s="112"/>
      <c r="F129" s="223" t="s">
        <v>172</v>
      </c>
      <c r="G129" s="263" t="s">
        <v>149</v>
      </c>
    </row>
    <row r="130" spans="2:7" s="156" customFormat="1" ht="18" hidden="1" customHeight="1" outlineLevel="1">
      <c r="B130" s="221"/>
      <c r="C130" s="222" t="s">
        <v>86</v>
      </c>
      <c r="D130" s="262" t="s">
        <v>33</v>
      </c>
      <c r="E130" s="112"/>
      <c r="F130" s="223" t="s">
        <v>172</v>
      </c>
      <c r="G130" s="263" t="s">
        <v>149</v>
      </c>
    </row>
    <row r="131" spans="2:7" s="156" customFormat="1" ht="18" hidden="1" customHeight="1" outlineLevel="1">
      <c r="B131" s="221"/>
      <c r="C131" s="222" t="s">
        <v>87</v>
      </c>
      <c r="D131" s="262" t="s">
        <v>33</v>
      </c>
      <c r="E131" s="112"/>
      <c r="F131" s="223" t="s">
        <v>172</v>
      </c>
      <c r="G131" s="263" t="s">
        <v>149</v>
      </c>
    </row>
    <row r="132" spans="2:7" s="156" customFormat="1" ht="18" hidden="1" customHeight="1" outlineLevel="1">
      <c r="B132" s="221"/>
      <c r="C132" s="222" t="s">
        <v>88</v>
      </c>
      <c r="D132" s="262" t="s">
        <v>33</v>
      </c>
      <c r="E132" s="112"/>
      <c r="F132" s="223" t="s">
        <v>172</v>
      </c>
      <c r="G132" s="263" t="s">
        <v>149</v>
      </c>
    </row>
    <row r="133" spans="2:7" s="156" customFormat="1" ht="18" hidden="1" customHeight="1" outlineLevel="1">
      <c r="B133" s="221"/>
      <c r="C133" s="222" t="s">
        <v>89</v>
      </c>
      <c r="D133" s="262" t="s">
        <v>33</v>
      </c>
      <c r="E133" s="112"/>
      <c r="F133" s="223" t="s">
        <v>172</v>
      </c>
      <c r="G133" s="263" t="s">
        <v>149</v>
      </c>
    </row>
    <row r="134" spans="2:7" s="156" customFormat="1" ht="18" hidden="1" customHeight="1" outlineLevel="1">
      <c r="B134" s="221"/>
      <c r="C134" s="222" t="s">
        <v>90</v>
      </c>
      <c r="D134" s="262" t="s">
        <v>33</v>
      </c>
      <c r="E134" s="112"/>
      <c r="F134" s="223" t="s">
        <v>172</v>
      </c>
      <c r="G134" s="263" t="s">
        <v>149</v>
      </c>
    </row>
    <row r="135" spans="2:7" s="156" customFormat="1" ht="18" hidden="1" customHeight="1" outlineLevel="1">
      <c r="B135" s="221"/>
      <c r="C135" s="222" t="s">
        <v>91</v>
      </c>
      <c r="D135" s="262" t="s">
        <v>33</v>
      </c>
      <c r="E135" s="112"/>
      <c r="F135" s="223" t="s">
        <v>172</v>
      </c>
      <c r="G135" s="263" t="s">
        <v>149</v>
      </c>
    </row>
    <row r="136" spans="2:7" s="156" customFormat="1" ht="18" hidden="1" customHeight="1" outlineLevel="1">
      <c r="B136" s="221"/>
      <c r="C136" s="222" t="s">
        <v>191</v>
      </c>
      <c r="D136" s="262" t="s">
        <v>33</v>
      </c>
      <c r="E136" s="112"/>
      <c r="F136" s="223" t="s">
        <v>172</v>
      </c>
      <c r="G136" s="263" t="s">
        <v>149</v>
      </c>
    </row>
    <row r="137" spans="2:7" s="156" customFormat="1" ht="18" hidden="1" customHeight="1" outlineLevel="1">
      <c r="B137" s="221"/>
      <c r="C137" s="222" t="s">
        <v>92</v>
      </c>
      <c r="D137" s="262" t="s">
        <v>33</v>
      </c>
      <c r="E137" s="112"/>
      <c r="F137" s="223" t="s">
        <v>172</v>
      </c>
      <c r="G137" s="263" t="s">
        <v>149</v>
      </c>
    </row>
    <row r="138" spans="2:7" s="156" customFormat="1" ht="18" hidden="1" customHeight="1" outlineLevel="1">
      <c r="B138" s="221"/>
      <c r="C138" s="222" t="s">
        <v>192</v>
      </c>
      <c r="D138" s="262" t="s">
        <v>33</v>
      </c>
      <c r="E138" s="112"/>
      <c r="F138" s="223" t="s">
        <v>172</v>
      </c>
      <c r="G138" s="263" t="s">
        <v>149</v>
      </c>
    </row>
    <row r="139" spans="2:7" s="156" customFormat="1" ht="18" hidden="1" customHeight="1" outlineLevel="1">
      <c r="B139" s="221"/>
      <c r="C139" s="222" t="s">
        <v>93</v>
      </c>
      <c r="D139" s="262" t="s">
        <v>33</v>
      </c>
      <c r="E139" s="112"/>
      <c r="F139" s="223" t="s">
        <v>172</v>
      </c>
      <c r="G139" s="263" t="s">
        <v>149</v>
      </c>
    </row>
    <row r="140" spans="2:7" s="156" customFormat="1" ht="18" hidden="1" customHeight="1" outlineLevel="1">
      <c r="B140" s="221"/>
      <c r="C140" s="222" t="s">
        <v>94</v>
      </c>
      <c r="D140" s="262" t="s">
        <v>33</v>
      </c>
      <c r="E140" s="112"/>
      <c r="F140" s="223" t="s">
        <v>172</v>
      </c>
      <c r="G140" s="263" t="s">
        <v>149</v>
      </c>
    </row>
    <row r="141" spans="2:7" s="156" customFormat="1" ht="18" hidden="1" customHeight="1" outlineLevel="1">
      <c r="B141" s="221"/>
      <c r="C141" s="222" t="s">
        <v>95</v>
      </c>
      <c r="D141" s="262" t="s">
        <v>33</v>
      </c>
      <c r="E141" s="112"/>
      <c r="F141" s="223" t="s">
        <v>172</v>
      </c>
      <c r="G141" s="263" t="s">
        <v>149</v>
      </c>
    </row>
    <row r="142" spans="2:7" s="156" customFormat="1" ht="18" hidden="1" customHeight="1" outlineLevel="1">
      <c r="B142" s="221"/>
      <c r="C142" s="222" t="s">
        <v>96</v>
      </c>
      <c r="D142" s="262" t="s">
        <v>33</v>
      </c>
      <c r="E142" s="112"/>
      <c r="F142" s="223" t="s">
        <v>172</v>
      </c>
      <c r="G142" s="263" t="s">
        <v>149</v>
      </c>
    </row>
    <row r="143" spans="2:7" s="156" customFormat="1" ht="18" hidden="1" customHeight="1" outlineLevel="1">
      <c r="B143" s="221"/>
      <c r="C143" s="222" t="s">
        <v>97</v>
      </c>
      <c r="D143" s="262" t="s">
        <v>33</v>
      </c>
      <c r="E143" s="112"/>
      <c r="F143" s="223" t="s">
        <v>172</v>
      </c>
      <c r="G143" s="263" t="s">
        <v>149</v>
      </c>
    </row>
    <row r="144" spans="2:7" s="156" customFormat="1" ht="18" hidden="1" customHeight="1" outlineLevel="1">
      <c r="B144" s="221"/>
      <c r="C144" s="222" t="s">
        <v>98</v>
      </c>
      <c r="D144" s="262" t="s">
        <v>33</v>
      </c>
      <c r="E144" s="112"/>
      <c r="F144" s="223" t="s">
        <v>172</v>
      </c>
      <c r="G144" s="263" t="s">
        <v>149</v>
      </c>
    </row>
    <row r="145" spans="2:7" s="156" customFormat="1" ht="18" hidden="1" customHeight="1" outlineLevel="1">
      <c r="B145" s="221"/>
      <c r="C145" s="222" t="s">
        <v>99</v>
      </c>
      <c r="D145" s="262" t="s">
        <v>33</v>
      </c>
      <c r="E145" s="112"/>
      <c r="F145" s="223" t="s">
        <v>172</v>
      </c>
      <c r="G145" s="263" t="s">
        <v>149</v>
      </c>
    </row>
    <row r="146" spans="2:7" s="156" customFormat="1" ht="18" hidden="1" customHeight="1" outlineLevel="1">
      <c r="B146" s="221"/>
      <c r="C146" s="222" t="s">
        <v>100</v>
      </c>
      <c r="D146" s="262" t="s">
        <v>33</v>
      </c>
      <c r="E146" s="112"/>
      <c r="F146" s="223" t="s">
        <v>172</v>
      </c>
      <c r="G146" s="263" t="s">
        <v>149</v>
      </c>
    </row>
    <row r="147" spans="2:7" s="156" customFormat="1" ht="18" hidden="1" customHeight="1" outlineLevel="1">
      <c r="B147" s="221"/>
      <c r="C147" s="222" t="s">
        <v>101</v>
      </c>
      <c r="D147" s="262" t="s">
        <v>33</v>
      </c>
      <c r="E147" s="112"/>
      <c r="F147" s="223" t="s">
        <v>172</v>
      </c>
      <c r="G147" s="263" t="s">
        <v>149</v>
      </c>
    </row>
    <row r="148" spans="2:7" s="156" customFormat="1" ht="18" hidden="1" customHeight="1" outlineLevel="1">
      <c r="B148" s="221"/>
      <c r="C148" s="222" t="s">
        <v>102</v>
      </c>
      <c r="D148" s="262" t="s">
        <v>33</v>
      </c>
      <c r="E148" s="112"/>
      <c r="F148" s="223" t="s">
        <v>172</v>
      </c>
      <c r="G148" s="263" t="s">
        <v>149</v>
      </c>
    </row>
    <row r="149" spans="2:7" s="156" customFormat="1" ht="18" hidden="1" customHeight="1" outlineLevel="1">
      <c r="B149" s="221"/>
      <c r="C149" s="222" t="s">
        <v>103</v>
      </c>
      <c r="D149" s="262" t="s">
        <v>33</v>
      </c>
      <c r="E149" s="112"/>
      <c r="F149" s="223" t="s">
        <v>172</v>
      </c>
      <c r="G149" s="263" t="s">
        <v>149</v>
      </c>
    </row>
    <row r="150" spans="2:7" s="156" customFormat="1" ht="18" hidden="1" customHeight="1" outlineLevel="1">
      <c r="B150" s="221"/>
      <c r="C150" s="222" t="s">
        <v>104</v>
      </c>
      <c r="D150" s="262" t="s">
        <v>33</v>
      </c>
      <c r="E150" s="112"/>
      <c r="F150" s="223" t="s">
        <v>172</v>
      </c>
      <c r="G150" s="263" t="s">
        <v>149</v>
      </c>
    </row>
    <row r="151" spans="2:7" s="156" customFormat="1" ht="18" hidden="1" customHeight="1" outlineLevel="1">
      <c r="B151" s="221"/>
      <c r="C151" s="222" t="s">
        <v>105</v>
      </c>
      <c r="D151" s="262" t="s">
        <v>33</v>
      </c>
      <c r="E151" s="112"/>
      <c r="F151" s="223" t="s">
        <v>172</v>
      </c>
      <c r="G151" s="263" t="s">
        <v>149</v>
      </c>
    </row>
    <row r="152" spans="2:7" s="156" customFormat="1" ht="18" hidden="1" customHeight="1" outlineLevel="1">
      <c r="B152" s="221"/>
      <c r="C152" s="222" t="s">
        <v>106</v>
      </c>
      <c r="D152" s="262" t="s">
        <v>33</v>
      </c>
      <c r="E152" s="112"/>
      <c r="F152" s="223" t="s">
        <v>172</v>
      </c>
      <c r="G152" s="263" t="s">
        <v>149</v>
      </c>
    </row>
    <row r="153" spans="2:7" s="156" customFormat="1" ht="18" hidden="1" customHeight="1" outlineLevel="1">
      <c r="B153" s="221"/>
      <c r="C153" s="222" t="s">
        <v>107</v>
      </c>
      <c r="D153" s="262" t="s">
        <v>33</v>
      </c>
      <c r="E153" s="112"/>
      <c r="F153" s="223" t="s">
        <v>172</v>
      </c>
      <c r="G153" s="263" t="s">
        <v>149</v>
      </c>
    </row>
    <row r="154" spans="2:7" s="156" customFormat="1" ht="18" hidden="1" customHeight="1" outlineLevel="1">
      <c r="B154" s="221"/>
      <c r="C154" s="222" t="s">
        <v>108</v>
      </c>
      <c r="D154" s="262" t="s">
        <v>33</v>
      </c>
      <c r="E154" s="112"/>
      <c r="F154" s="223" t="s">
        <v>172</v>
      </c>
      <c r="G154" s="263" t="s">
        <v>149</v>
      </c>
    </row>
    <row r="155" spans="2:7" s="156" customFormat="1" ht="18" hidden="1" customHeight="1" outlineLevel="1">
      <c r="B155" s="221"/>
      <c r="C155" s="222" t="s">
        <v>109</v>
      </c>
      <c r="D155" s="262" t="s">
        <v>33</v>
      </c>
      <c r="E155" s="112"/>
      <c r="F155" s="223" t="s">
        <v>172</v>
      </c>
      <c r="G155" s="263" t="s">
        <v>149</v>
      </c>
    </row>
    <row r="156" spans="2:7" s="156" customFormat="1" ht="18" hidden="1" customHeight="1" outlineLevel="1">
      <c r="B156" s="221"/>
      <c r="C156" s="222" t="s">
        <v>110</v>
      </c>
      <c r="D156" s="262" t="s">
        <v>33</v>
      </c>
      <c r="E156" s="112"/>
      <c r="F156" s="223" t="s">
        <v>172</v>
      </c>
      <c r="G156" s="263" t="s">
        <v>149</v>
      </c>
    </row>
    <row r="157" spans="2:7" s="156" customFormat="1" ht="18" hidden="1" customHeight="1" outlineLevel="1">
      <c r="B157" s="221"/>
      <c r="C157" s="222" t="s">
        <v>111</v>
      </c>
      <c r="D157" s="262" t="s">
        <v>33</v>
      </c>
      <c r="E157" s="112"/>
      <c r="F157" s="223" t="s">
        <v>172</v>
      </c>
      <c r="G157" s="263" t="s">
        <v>149</v>
      </c>
    </row>
    <row r="158" spans="2:7" s="156" customFormat="1" ht="18" hidden="1" customHeight="1" outlineLevel="1">
      <c r="B158" s="221"/>
      <c r="C158" s="266" t="s">
        <v>112</v>
      </c>
      <c r="D158" s="262" t="s">
        <v>33</v>
      </c>
      <c r="E158" s="112"/>
      <c r="F158" s="223" t="s">
        <v>172</v>
      </c>
      <c r="G158" s="263" t="s">
        <v>149</v>
      </c>
    </row>
    <row r="159" spans="2:7" s="156" customFormat="1" ht="18" hidden="1" customHeight="1" outlineLevel="1">
      <c r="B159" s="221"/>
      <c r="C159" s="266" t="s">
        <v>113</v>
      </c>
      <c r="D159" s="262" t="s">
        <v>33</v>
      </c>
      <c r="E159" s="112"/>
      <c r="F159" s="223" t="s">
        <v>172</v>
      </c>
      <c r="G159" s="263" t="s">
        <v>149</v>
      </c>
    </row>
    <row r="160" spans="2:7" s="156" customFormat="1" ht="18" hidden="1" customHeight="1" outlineLevel="1">
      <c r="B160" s="221"/>
      <c r="C160" s="266" t="s">
        <v>114</v>
      </c>
      <c r="D160" s="262" t="s">
        <v>33</v>
      </c>
      <c r="E160" s="112"/>
      <c r="F160" s="223" t="s">
        <v>172</v>
      </c>
      <c r="G160" s="263" t="s">
        <v>149</v>
      </c>
    </row>
    <row r="161" spans="2:7" s="156" customFormat="1" ht="18" hidden="1" customHeight="1" outlineLevel="1">
      <c r="B161" s="221"/>
      <c r="C161" s="266" t="s">
        <v>115</v>
      </c>
      <c r="D161" s="262" t="s">
        <v>33</v>
      </c>
      <c r="E161" s="112"/>
      <c r="F161" s="223" t="s">
        <v>172</v>
      </c>
      <c r="G161" s="263" t="s">
        <v>149</v>
      </c>
    </row>
    <row r="162" spans="2:7" s="156" customFormat="1" ht="18" hidden="1" customHeight="1" outlineLevel="1">
      <c r="B162" s="221"/>
      <c r="C162" s="266" t="s">
        <v>116</v>
      </c>
      <c r="D162" s="262" t="s">
        <v>33</v>
      </c>
      <c r="E162" s="112"/>
      <c r="F162" s="223" t="s">
        <v>172</v>
      </c>
      <c r="G162" s="263" t="s">
        <v>149</v>
      </c>
    </row>
    <row r="163" spans="2:7" s="156" customFormat="1" ht="18" hidden="1" customHeight="1" outlineLevel="1">
      <c r="B163" s="221"/>
      <c r="C163" s="266" t="s">
        <v>117</v>
      </c>
      <c r="D163" s="262" t="s">
        <v>33</v>
      </c>
      <c r="E163" s="112"/>
      <c r="F163" s="223" t="s">
        <v>172</v>
      </c>
      <c r="G163" s="263" t="s">
        <v>149</v>
      </c>
    </row>
    <row r="164" spans="2:7" s="156" customFormat="1" ht="18" hidden="1" customHeight="1" outlineLevel="1">
      <c r="B164" s="221"/>
      <c r="C164" s="266" t="s">
        <v>118</v>
      </c>
      <c r="D164" s="262" t="s">
        <v>33</v>
      </c>
      <c r="E164" s="112"/>
      <c r="F164" s="223" t="s">
        <v>172</v>
      </c>
      <c r="G164" s="263" t="s">
        <v>149</v>
      </c>
    </row>
    <row r="165" spans="2:7" s="156" customFormat="1" ht="18" hidden="1" customHeight="1" outlineLevel="1">
      <c r="B165" s="221"/>
      <c r="C165" s="266" t="s">
        <v>119</v>
      </c>
      <c r="D165" s="262" t="s">
        <v>33</v>
      </c>
      <c r="E165" s="112"/>
      <c r="F165" s="223" t="s">
        <v>172</v>
      </c>
      <c r="G165" s="263" t="s">
        <v>149</v>
      </c>
    </row>
    <row r="166" spans="2:7" s="156" customFormat="1" ht="18" hidden="1" customHeight="1" outlineLevel="1">
      <c r="B166" s="221"/>
      <c r="C166" s="266" t="s">
        <v>120</v>
      </c>
      <c r="D166" s="262" t="s">
        <v>33</v>
      </c>
      <c r="E166" s="112"/>
      <c r="F166" s="223" t="s">
        <v>172</v>
      </c>
      <c r="G166" s="263" t="s">
        <v>149</v>
      </c>
    </row>
    <row r="167" spans="2:7" s="156" customFormat="1" ht="18" hidden="1" customHeight="1" outlineLevel="1">
      <c r="B167" s="221"/>
      <c r="C167" s="266" t="s">
        <v>121</v>
      </c>
      <c r="D167" s="262" t="s">
        <v>33</v>
      </c>
      <c r="E167" s="112"/>
      <c r="F167" s="223" t="s">
        <v>172</v>
      </c>
      <c r="G167" s="263" t="s">
        <v>149</v>
      </c>
    </row>
    <row r="168" spans="2:7" s="156" customFormat="1" ht="18" hidden="1" customHeight="1" outlineLevel="1">
      <c r="B168" s="221"/>
      <c r="C168" s="266" t="s">
        <v>209</v>
      </c>
      <c r="D168" s="262" t="s">
        <v>33</v>
      </c>
      <c r="E168" s="112"/>
      <c r="F168" s="223" t="s">
        <v>172</v>
      </c>
      <c r="G168" s="263" t="s">
        <v>149</v>
      </c>
    </row>
    <row r="169" spans="2:7" s="156" customFormat="1" ht="18" hidden="1" customHeight="1" outlineLevel="1">
      <c r="B169" s="221"/>
      <c r="C169" s="266" t="s">
        <v>122</v>
      </c>
      <c r="D169" s="262" t="s">
        <v>33</v>
      </c>
      <c r="E169" s="112"/>
      <c r="F169" s="223" t="s">
        <v>172</v>
      </c>
      <c r="G169" s="263" t="s">
        <v>149</v>
      </c>
    </row>
    <row r="170" spans="2:7" s="156" customFormat="1" ht="18" hidden="1" customHeight="1" outlineLevel="1">
      <c r="B170" s="221"/>
      <c r="C170" s="266" t="s">
        <v>123</v>
      </c>
      <c r="D170" s="262" t="s">
        <v>33</v>
      </c>
      <c r="E170" s="112"/>
      <c r="F170" s="223" t="s">
        <v>172</v>
      </c>
      <c r="G170" s="263" t="s">
        <v>149</v>
      </c>
    </row>
    <row r="171" spans="2:7" s="156" customFormat="1" ht="18" hidden="1" customHeight="1" outlineLevel="1">
      <c r="B171" s="221"/>
      <c r="C171" s="222" t="s">
        <v>124</v>
      </c>
      <c r="D171" s="262" t="s">
        <v>33</v>
      </c>
      <c r="E171" s="112"/>
      <c r="F171" s="223" t="s">
        <v>172</v>
      </c>
      <c r="G171" s="263" t="s">
        <v>149</v>
      </c>
    </row>
    <row r="172" spans="2:7" s="156" customFormat="1" ht="18" hidden="1" customHeight="1" outlineLevel="1">
      <c r="B172" s="221"/>
      <c r="C172" s="222" t="s">
        <v>125</v>
      </c>
      <c r="D172" s="262" t="s">
        <v>33</v>
      </c>
      <c r="E172" s="112"/>
      <c r="F172" s="223" t="s">
        <v>172</v>
      </c>
      <c r="G172" s="263" t="s">
        <v>149</v>
      </c>
    </row>
    <row r="173" spans="2:7" s="156" customFormat="1" ht="18" hidden="1" customHeight="1" outlineLevel="1">
      <c r="B173" s="221"/>
      <c r="C173" s="222" t="s">
        <v>126</v>
      </c>
      <c r="D173" s="262" t="s">
        <v>33</v>
      </c>
      <c r="E173" s="112"/>
      <c r="F173" s="223" t="s">
        <v>172</v>
      </c>
      <c r="G173" s="263" t="s">
        <v>149</v>
      </c>
    </row>
    <row r="174" spans="2:7" s="156" customFormat="1" ht="18" hidden="1" customHeight="1" outlineLevel="1">
      <c r="B174" s="221"/>
      <c r="C174" s="222" t="s">
        <v>127</v>
      </c>
      <c r="D174" s="262" t="s">
        <v>33</v>
      </c>
      <c r="E174" s="112"/>
      <c r="F174" s="223" t="s">
        <v>172</v>
      </c>
      <c r="G174" s="263" t="s">
        <v>149</v>
      </c>
    </row>
    <row r="175" spans="2:7" s="156" customFormat="1" ht="18" hidden="1" customHeight="1" outlineLevel="1">
      <c r="B175" s="221"/>
      <c r="C175" s="222" t="s">
        <v>128</v>
      </c>
      <c r="D175" s="262" t="s">
        <v>33</v>
      </c>
      <c r="E175" s="112"/>
      <c r="F175" s="223" t="s">
        <v>172</v>
      </c>
      <c r="G175" s="263" t="s">
        <v>149</v>
      </c>
    </row>
    <row r="176" spans="2:7" s="156" customFormat="1" ht="18" hidden="1" customHeight="1" outlineLevel="1">
      <c r="B176" s="221"/>
      <c r="C176" s="222" t="s">
        <v>129</v>
      </c>
      <c r="D176" s="262" t="s">
        <v>33</v>
      </c>
      <c r="E176" s="112"/>
      <c r="F176" s="223" t="s">
        <v>172</v>
      </c>
      <c r="G176" s="263" t="s">
        <v>149</v>
      </c>
    </row>
    <row r="177" spans="2:7" s="156" customFormat="1" ht="18" hidden="1" customHeight="1" outlineLevel="1">
      <c r="B177" s="221"/>
      <c r="C177" s="222" t="s">
        <v>130</v>
      </c>
      <c r="D177" s="262" t="s">
        <v>33</v>
      </c>
      <c r="E177" s="112"/>
      <c r="F177" s="223" t="s">
        <v>172</v>
      </c>
      <c r="G177" s="263" t="s">
        <v>149</v>
      </c>
    </row>
    <row r="178" spans="2:7" s="156" customFormat="1" ht="18" hidden="1" customHeight="1" outlineLevel="1">
      <c r="B178" s="221"/>
      <c r="C178" s="222" t="s">
        <v>131</v>
      </c>
      <c r="D178" s="262" t="s">
        <v>33</v>
      </c>
      <c r="E178" s="112"/>
      <c r="F178" s="223" t="s">
        <v>172</v>
      </c>
      <c r="G178" s="263" t="s">
        <v>149</v>
      </c>
    </row>
    <row r="179" spans="2:7" s="156" customFormat="1" ht="18" hidden="1" customHeight="1" outlineLevel="1">
      <c r="B179" s="221"/>
      <c r="C179" s="222" t="s">
        <v>132</v>
      </c>
      <c r="D179" s="262" t="s">
        <v>33</v>
      </c>
      <c r="E179" s="112"/>
      <c r="F179" s="223" t="s">
        <v>172</v>
      </c>
      <c r="G179" s="263" t="s">
        <v>149</v>
      </c>
    </row>
    <row r="180" spans="2:7" s="156" customFormat="1" ht="18" hidden="1" customHeight="1" outlineLevel="1">
      <c r="B180" s="221"/>
      <c r="C180" s="222" t="s">
        <v>133</v>
      </c>
      <c r="D180" s="262" t="s">
        <v>33</v>
      </c>
      <c r="E180" s="112"/>
      <c r="F180" s="223" t="s">
        <v>172</v>
      </c>
      <c r="G180" s="263" t="s">
        <v>149</v>
      </c>
    </row>
    <row r="181" spans="2:7" s="156" customFormat="1" ht="18" hidden="1" customHeight="1" outlineLevel="1">
      <c r="B181" s="221"/>
      <c r="C181" s="222" t="s">
        <v>134</v>
      </c>
      <c r="D181" s="262" t="s">
        <v>33</v>
      </c>
      <c r="E181" s="112"/>
      <c r="F181" s="223" t="s">
        <v>172</v>
      </c>
      <c r="G181" s="263" t="s">
        <v>149</v>
      </c>
    </row>
    <row r="182" spans="2:7" s="156" customFormat="1" ht="18" hidden="1" customHeight="1" outlineLevel="1">
      <c r="B182" s="221"/>
      <c r="C182" s="222" t="s">
        <v>135</v>
      </c>
      <c r="D182" s="262" t="s">
        <v>33</v>
      </c>
      <c r="E182" s="112"/>
      <c r="F182" s="223" t="s">
        <v>172</v>
      </c>
      <c r="G182" s="263" t="s">
        <v>149</v>
      </c>
    </row>
    <row r="183" spans="2:7" s="156" customFormat="1" ht="18" hidden="1" customHeight="1" outlineLevel="1">
      <c r="B183" s="221"/>
      <c r="C183" s="222" t="s">
        <v>136</v>
      </c>
      <c r="D183" s="262" t="s">
        <v>33</v>
      </c>
      <c r="E183" s="112"/>
      <c r="F183" s="223" t="s">
        <v>172</v>
      </c>
      <c r="G183" s="263" t="s">
        <v>149</v>
      </c>
    </row>
    <row r="184" spans="2:7" s="156" customFormat="1" ht="18" hidden="1" customHeight="1" outlineLevel="1">
      <c r="B184" s="221"/>
      <c r="C184" s="222" t="s">
        <v>137</v>
      </c>
      <c r="D184" s="262" t="s">
        <v>33</v>
      </c>
      <c r="E184" s="112"/>
      <c r="F184" s="223" t="s">
        <v>172</v>
      </c>
      <c r="G184" s="263" t="s">
        <v>149</v>
      </c>
    </row>
    <row r="185" spans="2:7" s="156" customFormat="1" ht="18" hidden="1" customHeight="1" outlineLevel="1">
      <c r="B185" s="221"/>
      <c r="C185" s="222" t="s">
        <v>138</v>
      </c>
      <c r="D185" s="262" t="s">
        <v>33</v>
      </c>
      <c r="E185" s="112"/>
      <c r="F185" s="223" t="s">
        <v>172</v>
      </c>
      <c r="G185" s="263" t="s">
        <v>149</v>
      </c>
    </row>
    <row r="186" spans="2:7" s="156" customFormat="1" ht="18" hidden="1" customHeight="1" outlineLevel="1">
      <c r="B186" s="221"/>
      <c r="C186" s="222" t="s">
        <v>139</v>
      </c>
      <c r="D186" s="262" t="s">
        <v>33</v>
      </c>
      <c r="E186" s="112"/>
      <c r="F186" s="223" t="s">
        <v>172</v>
      </c>
      <c r="G186" s="263" t="s">
        <v>149</v>
      </c>
    </row>
    <row r="187" spans="2:7" s="156" customFormat="1" ht="18" hidden="1" customHeight="1" outlineLevel="1">
      <c r="B187" s="221"/>
      <c r="C187" s="266" t="s">
        <v>140</v>
      </c>
      <c r="D187" s="262" t="s">
        <v>33</v>
      </c>
      <c r="E187" s="112"/>
      <c r="F187" s="223" t="s">
        <v>172</v>
      </c>
      <c r="G187" s="263" t="s">
        <v>149</v>
      </c>
    </row>
    <row r="188" spans="2:7" s="156" customFormat="1" ht="18" hidden="1" customHeight="1" outlineLevel="1">
      <c r="B188" s="221"/>
      <c r="C188" s="266" t="s">
        <v>141</v>
      </c>
      <c r="D188" s="262" t="s">
        <v>33</v>
      </c>
      <c r="E188" s="112"/>
      <c r="F188" s="223" t="s">
        <v>172</v>
      </c>
      <c r="G188" s="263" t="s">
        <v>149</v>
      </c>
    </row>
    <row r="189" spans="2:7" s="156" customFormat="1" ht="18" hidden="1" customHeight="1" outlineLevel="1">
      <c r="B189" s="221"/>
      <c r="C189" s="266" t="s">
        <v>142</v>
      </c>
      <c r="D189" s="262" t="s">
        <v>33</v>
      </c>
      <c r="E189" s="112"/>
      <c r="F189" s="223" t="s">
        <v>172</v>
      </c>
      <c r="G189" s="263" t="s">
        <v>149</v>
      </c>
    </row>
    <row r="190" spans="2:7" s="156" customFormat="1" ht="18" hidden="1" customHeight="1" outlineLevel="1">
      <c r="B190" s="221"/>
      <c r="C190" s="222" t="s">
        <v>143</v>
      </c>
      <c r="D190" s="262" t="s">
        <v>33</v>
      </c>
      <c r="E190" s="112"/>
      <c r="F190" s="223" t="s">
        <v>172</v>
      </c>
      <c r="G190" s="263" t="s">
        <v>149</v>
      </c>
    </row>
    <row r="191" spans="2:7" s="156" customFormat="1" ht="18" hidden="1" customHeight="1" outlineLevel="1">
      <c r="B191" s="221"/>
      <c r="C191" s="222" t="s">
        <v>144</v>
      </c>
      <c r="D191" s="262" t="s">
        <v>33</v>
      </c>
      <c r="E191" s="112"/>
      <c r="F191" s="223" t="s">
        <v>172</v>
      </c>
      <c r="G191" s="263" t="s">
        <v>149</v>
      </c>
    </row>
    <row r="192" spans="2:7" s="156" customFormat="1" ht="18" hidden="1" customHeight="1" outlineLevel="1">
      <c r="B192" s="221"/>
      <c r="C192" s="222" t="s">
        <v>145</v>
      </c>
      <c r="D192" s="262" t="s">
        <v>33</v>
      </c>
      <c r="E192" s="112"/>
      <c r="F192" s="223" t="s">
        <v>172</v>
      </c>
      <c r="G192" s="263" t="s">
        <v>149</v>
      </c>
    </row>
    <row r="193" spans="2:7" s="156" customFormat="1" ht="18" hidden="1" customHeight="1" outlineLevel="1">
      <c r="B193" s="221"/>
      <c r="C193" s="222" t="s">
        <v>146</v>
      </c>
      <c r="D193" s="262" t="s">
        <v>33</v>
      </c>
      <c r="E193" s="112"/>
      <c r="F193" s="223" t="s">
        <v>172</v>
      </c>
      <c r="G193" s="263" t="s">
        <v>149</v>
      </c>
    </row>
    <row r="194" spans="2:7" s="156" customFormat="1" ht="18" hidden="1" customHeight="1" outlineLevel="1">
      <c r="B194" s="221"/>
      <c r="C194" s="222" t="s">
        <v>147</v>
      </c>
      <c r="D194" s="262" t="s">
        <v>33</v>
      </c>
      <c r="E194" s="112"/>
      <c r="F194" s="223" t="s">
        <v>172</v>
      </c>
      <c r="G194" s="263" t="s">
        <v>149</v>
      </c>
    </row>
    <row r="195" spans="2:7" s="156" customFormat="1" ht="18" hidden="1" customHeight="1" outlineLevel="1">
      <c r="B195" s="221"/>
      <c r="C195" s="222" t="s">
        <v>148</v>
      </c>
      <c r="D195" s="262" t="s">
        <v>33</v>
      </c>
      <c r="E195" s="112"/>
      <c r="F195" s="223" t="s">
        <v>172</v>
      </c>
      <c r="G195" s="263" t="s">
        <v>149</v>
      </c>
    </row>
    <row r="196" spans="2:7" collapsed="1">
      <c r="C196" s="205"/>
    </row>
    <row r="197" spans="2:7" ht="18">
      <c r="C197" s="267" t="s">
        <v>56</v>
      </c>
      <c r="D197" s="268"/>
    </row>
    <row r="198" spans="2:7">
      <c r="C198" s="205"/>
    </row>
    <row r="199" spans="2:7" ht="20.100000000000001" customHeight="1" thickBot="1">
      <c r="B199" s="269" t="s">
        <v>8</v>
      </c>
      <c r="C199" s="270" t="s">
        <v>154</v>
      </c>
      <c r="D199" s="269" t="s">
        <v>3</v>
      </c>
      <c r="E199" s="269" t="s">
        <v>4</v>
      </c>
      <c r="F199" s="270" t="s">
        <v>2</v>
      </c>
      <c r="G199" s="270" t="s">
        <v>155</v>
      </c>
    </row>
    <row r="200" spans="2:7" s="156" customFormat="1" ht="35.1" customHeight="1">
      <c r="B200" s="271" t="s">
        <v>157</v>
      </c>
      <c r="C200" s="272" t="s">
        <v>156</v>
      </c>
      <c r="D200" s="273" t="s">
        <v>407</v>
      </c>
      <c r="E200" s="89">
        <v>0.25879999999999997</v>
      </c>
      <c r="F200" s="274" t="s">
        <v>409</v>
      </c>
      <c r="G200" s="275" t="s">
        <v>159</v>
      </c>
    </row>
    <row r="201" spans="2:7" s="156" customFormat="1" ht="35.1" customHeight="1">
      <c r="B201" s="276" t="s">
        <v>158</v>
      </c>
      <c r="C201" s="277" t="s">
        <v>164</v>
      </c>
      <c r="D201" s="278" t="s">
        <v>407</v>
      </c>
      <c r="E201" s="279">
        <v>0.18459999999999999</v>
      </c>
      <c r="F201" s="280" t="s">
        <v>410</v>
      </c>
      <c r="G201" s="281" t="s">
        <v>186</v>
      </c>
    </row>
    <row r="202" spans="2:7" s="156" customFormat="1" ht="35.1" customHeight="1">
      <c r="B202" s="276" t="s">
        <v>160</v>
      </c>
      <c r="C202" s="282" t="s">
        <v>165</v>
      </c>
      <c r="D202" s="278" t="s">
        <v>407</v>
      </c>
      <c r="E202" s="279">
        <v>0.23169999999999999</v>
      </c>
      <c r="F202" s="280" t="s">
        <v>411</v>
      </c>
      <c r="G202" s="281" t="s">
        <v>186</v>
      </c>
    </row>
    <row r="203" spans="2:7" s="156" customFormat="1" ht="35.1" customHeight="1">
      <c r="B203" s="276" t="s">
        <v>161</v>
      </c>
      <c r="C203" s="282" t="s">
        <v>166</v>
      </c>
      <c r="D203" s="278" t="s">
        <v>408</v>
      </c>
      <c r="E203" s="279">
        <v>2.6629</v>
      </c>
      <c r="F203" s="280" t="s">
        <v>412</v>
      </c>
      <c r="G203" s="281" t="s">
        <v>224</v>
      </c>
    </row>
    <row r="204" spans="2:7" s="156" customFormat="1" ht="35.1" customHeight="1">
      <c r="B204" s="276" t="s">
        <v>162</v>
      </c>
      <c r="C204" s="282" t="s">
        <v>167</v>
      </c>
      <c r="D204" s="278" t="s">
        <v>408</v>
      </c>
      <c r="E204" s="279">
        <v>2.7046999999999999</v>
      </c>
      <c r="F204" s="280" t="s">
        <v>413</v>
      </c>
      <c r="G204" s="281" t="s">
        <v>224</v>
      </c>
    </row>
    <row r="205" spans="2:7" s="156" customFormat="1" ht="35.1" customHeight="1">
      <c r="B205" s="276" t="s">
        <v>163</v>
      </c>
      <c r="C205" s="282" t="s">
        <v>169</v>
      </c>
      <c r="D205" s="278" t="s">
        <v>408</v>
      </c>
      <c r="E205" s="279">
        <v>2.3361000000000001</v>
      </c>
      <c r="F205" s="280" t="s">
        <v>414</v>
      </c>
      <c r="G205" s="281" t="s">
        <v>224</v>
      </c>
    </row>
    <row r="206" spans="2:7" s="156" customFormat="1" ht="48.95" customHeight="1">
      <c r="B206" s="276" t="s">
        <v>168</v>
      </c>
      <c r="C206" s="282" t="s">
        <v>170</v>
      </c>
      <c r="D206" s="278" t="s">
        <v>407</v>
      </c>
      <c r="E206" s="279">
        <v>0.25879999999999997</v>
      </c>
      <c r="F206" s="280" t="s">
        <v>415</v>
      </c>
      <c r="G206" s="280" t="s">
        <v>187</v>
      </c>
    </row>
    <row r="207" spans="2:7">
      <c r="C207" s="205"/>
    </row>
    <row r="208" spans="2:7">
      <c r="C208" s="205"/>
    </row>
    <row r="209" spans="2:3" ht="18.75">
      <c r="B209" s="161"/>
      <c r="C209" s="162" t="s">
        <v>185</v>
      </c>
    </row>
    <row r="210" spans="2:3">
      <c r="B210" s="161"/>
      <c r="C210" s="160"/>
    </row>
    <row r="211" spans="2:3">
      <c r="C211" s="157" t="s">
        <v>184</v>
      </c>
    </row>
    <row r="212" spans="2:3">
      <c r="C212" s="205" t="s">
        <v>346</v>
      </c>
    </row>
    <row r="213" spans="2:3">
      <c r="C213" s="205"/>
    </row>
    <row r="214" spans="2:3">
      <c r="C214" s="205"/>
    </row>
    <row r="215" spans="2:3">
      <c r="C215" s="205"/>
    </row>
    <row r="216" spans="2:3">
      <c r="C216" s="205"/>
    </row>
    <row r="753" spans="4:4" hidden="1"/>
    <row r="754" spans="4:4" hidden="1"/>
    <row r="755" spans="4:4" hidden="1">
      <c r="D755" s="158" t="s">
        <v>35</v>
      </c>
    </row>
    <row r="756" spans="4:4" hidden="1">
      <c r="D756" s="158" t="s">
        <v>36</v>
      </c>
    </row>
    <row r="757" spans="4:4" hidden="1"/>
    <row r="758" spans="4:4" hidden="1"/>
  </sheetData>
  <sheetProtection algorithmName="SHA-512" hashValue="MhUU5FI/Y8/xS5wVas8c4ZY2BXy2TbXVDlWz7EZsTZVeSM07AihtZkTXVPWoaKk+nX0cwxwy/vjXZDwxLZT1Lw==" saltValue="Ak/5v1r4gWpHTyiEzilQxw==" spinCount="100000" sheet="1" objects="1" scenarios="1" formatRows="0" selectLockedCells="1"/>
  <mergeCells count="22">
    <mergeCell ref="F82:F84"/>
    <mergeCell ref="G82:G84"/>
    <mergeCell ref="B79:B81"/>
    <mergeCell ref="C79:C81"/>
    <mergeCell ref="F79:F80"/>
    <mergeCell ref="G79:G80"/>
    <mergeCell ref="B82:B85"/>
    <mergeCell ref="C82:C85"/>
    <mergeCell ref="C76:G76"/>
    <mergeCell ref="G31:G34"/>
    <mergeCell ref="B7:C7"/>
    <mergeCell ref="G46:G47"/>
    <mergeCell ref="F49:F51"/>
    <mergeCell ref="G49:G51"/>
    <mergeCell ref="B49:B52"/>
    <mergeCell ref="C49:C52"/>
    <mergeCell ref="B46:B48"/>
    <mergeCell ref="C46:C48"/>
    <mergeCell ref="F46:F47"/>
    <mergeCell ref="D14:E14"/>
    <mergeCell ref="D21:E21"/>
    <mergeCell ref="D22:E22"/>
  </mergeCells>
  <phoneticPr fontId="28" type="noConversion"/>
  <dataValidations count="1">
    <dataValidation type="list" allowBlank="1" showInputMessage="1" showErrorMessage="1" sqref="D103 D68:D69 D91:D92 D106" xr:uid="{AFAD6C1C-8221-F749-A205-D1FA5E28D583}">
      <formula1>$D$755:$D$756</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F3A2E-10F0-EC4A-8AC1-649FE9B23343}">
  <dimension ref="A5:G187"/>
  <sheetViews>
    <sheetView showGridLines="0" showRowColHeaders="0" zoomScale="90" zoomScaleNormal="90" workbookViewId="0">
      <selection activeCell="E43" sqref="E43"/>
    </sheetView>
  </sheetViews>
  <sheetFormatPr defaultColWidth="10.875" defaultRowHeight="15.75"/>
  <cols>
    <col min="1" max="1" width="9.125" style="1" customWidth="1"/>
    <col min="2" max="2" width="7" style="1" customWidth="1"/>
    <col min="3" max="3" width="44" style="1" customWidth="1"/>
    <col min="4" max="4" width="21.5" style="1" customWidth="1"/>
    <col min="5" max="5" width="18.625" style="1" customWidth="1"/>
    <col min="6" max="6" width="94.625" style="1" customWidth="1"/>
    <col min="7" max="7" width="75.625" style="1" customWidth="1"/>
    <col min="8" max="16384" width="10.875" style="1"/>
  </cols>
  <sheetData>
    <row r="5" spans="2:6" ht="41.1" customHeight="1">
      <c r="F5" s="14"/>
    </row>
    <row r="6" spans="2:6" ht="14.1" customHeight="1" thickBot="1">
      <c r="F6" s="14"/>
    </row>
    <row r="7" spans="2:6" ht="24.95" customHeight="1" thickBot="1">
      <c r="B7" s="357" t="s">
        <v>313</v>
      </c>
      <c r="C7" s="358"/>
      <c r="D7" s="4"/>
      <c r="E7" s="4"/>
    </row>
    <row r="8" spans="2:6" ht="6" customHeight="1">
      <c r="B8" s="5"/>
      <c r="D8" s="4"/>
      <c r="E8" s="4"/>
    </row>
    <row r="9" spans="2:6">
      <c r="B9" s="12" t="s">
        <v>0</v>
      </c>
      <c r="D9" s="4"/>
      <c r="E9" s="3"/>
    </row>
    <row r="10" spans="2:6" ht="21.95" customHeight="1"/>
    <row r="11" spans="2:6" ht="18.75">
      <c r="C11" s="8" t="s">
        <v>342</v>
      </c>
      <c r="D11" s="361" t="str">
        <f>IF(DADOS_INVENTÁRIO!D14="","")</f>
        <v/>
      </c>
      <c r="E11" s="361"/>
    </row>
    <row r="13" spans="2:6" ht="18.75">
      <c r="B13" s="5"/>
      <c r="C13" s="8" t="s">
        <v>264</v>
      </c>
      <c r="D13" s="361">
        <v>2030</v>
      </c>
      <c r="E13" s="361"/>
      <c r="F13" s="38"/>
    </row>
    <row r="14" spans="2:6">
      <c r="B14" s="5"/>
      <c r="C14" s="12"/>
    </row>
    <row r="17" spans="1:7" s="5" customFormat="1" ht="24.95" customHeight="1">
      <c r="A17" s="34" t="s">
        <v>265</v>
      </c>
      <c r="B17" s="34"/>
      <c r="C17" s="18" t="s">
        <v>181</v>
      </c>
      <c r="D17" s="17"/>
      <c r="E17" s="17"/>
      <c r="F17" s="56"/>
      <c r="G17" s="17"/>
    </row>
    <row r="19" spans="1:7" ht="26.1" customHeight="1" thickBot="1">
      <c r="A19" s="35"/>
      <c r="B19" s="29" t="s">
        <v>8</v>
      </c>
      <c r="C19" s="39" t="s">
        <v>1</v>
      </c>
      <c r="D19" s="29" t="s">
        <v>3</v>
      </c>
      <c r="E19" s="29" t="s">
        <v>4</v>
      </c>
      <c r="F19" s="28" t="s">
        <v>2</v>
      </c>
      <c r="G19" s="28" t="s">
        <v>270</v>
      </c>
    </row>
    <row r="20" spans="1:7" ht="6.95" customHeight="1" thickBot="1">
      <c r="A20" s="27"/>
      <c r="B20" s="15"/>
      <c r="C20" s="15"/>
      <c r="D20" s="16"/>
      <c r="E20" s="13"/>
      <c r="F20" s="14"/>
    </row>
    <row r="21" spans="1:7" ht="51.95" customHeight="1">
      <c r="A21" s="11"/>
      <c r="B21" s="25" t="s">
        <v>13</v>
      </c>
      <c r="C21" s="26" t="s">
        <v>327</v>
      </c>
      <c r="D21" s="25" t="s">
        <v>329</v>
      </c>
      <c r="E21" s="90">
        <f>DADOS_INVENTÁRIO!E39</f>
        <v>0</v>
      </c>
      <c r="F21" s="116" t="s">
        <v>328</v>
      </c>
      <c r="G21" s="93"/>
    </row>
    <row r="22" spans="1:7" ht="51.95" customHeight="1">
      <c r="B22" s="40" t="s">
        <v>157</v>
      </c>
      <c r="C22" s="33" t="s">
        <v>156</v>
      </c>
      <c r="D22" s="36" t="s">
        <v>404</v>
      </c>
      <c r="E22" s="92">
        <f>DADOS_INVENTÁRIO!E200*0.41</f>
        <v>0.10610799999999998</v>
      </c>
      <c r="F22" s="120" t="s">
        <v>424</v>
      </c>
      <c r="G22" s="94" t="s">
        <v>306</v>
      </c>
    </row>
    <row r="23" spans="1:7" ht="51.95" customHeight="1" thickBot="1">
      <c r="B23" s="41" t="s">
        <v>168</v>
      </c>
      <c r="C23" s="30" t="s">
        <v>170</v>
      </c>
      <c r="D23" s="37" t="s">
        <v>404</v>
      </c>
      <c r="E23" s="61">
        <f>0.106</f>
        <v>0.106</v>
      </c>
      <c r="F23" s="124" t="s">
        <v>425</v>
      </c>
      <c r="G23" s="77" t="s">
        <v>305</v>
      </c>
    </row>
    <row r="24" spans="1:7" ht="16.5" thickBot="1"/>
    <row r="25" spans="1:7" ht="26.1" customHeight="1" thickBot="1">
      <c r="C25" s="135" t="s">
        <v>174</v>
      </c>
      <c r="D25" s="136" t="s">
        <v>4</v>
      </c>
      <c r="E25" s="137" t="s">
        <v>3</v>
      </c>
    </row>
    <row r="26" spans="1:7" ht="6.95" customHeight="1" thickBot="1">
      <c r="C26" s="15"/>
      <c r="D26" s="16"/>
      <c r="E26" s="13"/>
    </row>
    <row r="27" spans="1:7" ht="50.1" customHeight="1">
      <c r="C27" s="26" t="s">
        <v>350</v>
      </c>
      <c r="D27" s="47" t="str">
        <f>IFERROR('Folha de Apoio'!M2/1000,"")</f>
        <v/>
      </c>
      <c r="E27" s="25" t="s">
        <v>400</v>
      </c>
      <c r="F27" s="119" t="s">
        <v>426</v>
      </c>
    </row>
    <row r="28" spans="1:7" ht="50.1" customHeight="1">
      <c r="C28" s="7" t="s">
        <v>318</v>
      </c>
      <c r="D28" s="48" t="str">
        <f>IFERROR(D27*'Folha de Apoio'!B29,"")</f>
        <v/>
      </c>
      <c r="E28" s="6" t="s">
        <v>400</v>
      </c>
      <c r="F28" s="121" t="s">
        <v>427</v>
      </c>
    </row>
    <row r="29" spans="1:7" ht="50.1" customHeight="1">
      <c r="C29" s="7" t="s">
        <v>330</v>
      </c>
      <c r="D29" s="48" t="str">
        <f>IFERROR(D27*'Folha de Apoio'!B31,"")</f>
        <v/>
      </c>
      <c r="E29" s="6" t="s">
        <v>400</v>
      </c>
      <c r="F29" s="122" t="s">
        <v>428</v>
      </c>
    </row>
    <row r="30" spans="1:7" ht="50.1" customHeight="1">
      <c r="C30" s="125" t="s">
        <v>320</v>
      </c>
      <c r="D30" s="62" t="str">
        <f>IFERROR(IF(D27="","",D28/PROJEÇÕES!E21*1000),"")</f>
        <v/>
      </c>
      <c r="E30" s="6" t="s">
        <v>402</v>
      </c>
      <c r="F30" s="122" t="s">
        <v>429</v>
      </c>
    </row>
    <row r="31" spans="1:7" ht="50.1" customHeight="1" thickBot="1">
      <c r="C31" s="30" t="s">
        <v>322</v>
      </c>
      <c r="D31" s="63" t="str">
        <f>IF(D27="","",D29/'Folha de Apoio'!C32/365*1000)</f>
        <v/>
      </c>
      <c r="E31" s="31" t="s">
        <v>403</v>
      </c>
      <c r="F31" s="123" t="s">
        <v>430</v>
      </c>
    </row>
    <row r="35" spans="1:7" s="5" customFormat="1" ht="24.95" customHeight="1">
      <c r="A35" s="42" t="s">
        <v>200</v>
      </c>
      <c r="B35" s="34"/>
      <c r="C35" s="19" t="s">
        <v>182</v>
      </c>
      <c r="D35" s="20"/>
      <c r="E35" s="20"/>
      <c r="F35" s="55"/>
      <c r="G35" s="20"/>
    </row>
    <row r="37" spans="1:7" ht="26.1" customHeight="1" thickBot="1">
      <c r="A37" s="35"/>
      <c r="B37" s="29" t="s">
        <v>8</v>
      </c>
      <c r="C37" s="39" t="s">
        <v>1</v>
      </c>
      <c r="D37" s="29" t="s">
        <v>3</v>
      </c>
      <c r="E37" s="29" t="s">
        <v>4</v>
      </c>
      <c r="F37" s="28" t="s">
        <v>2</v>
      </c>
      <c r="G37" s="28" t="s">
        <v>171</v>
      </c>
    </row>
    <row r="38" spans="1:7" ht="6.95" customHeight="1" thickBot="1">
      <c r="A38" s="27"/>
      <c r="B38" s="15"/>
      <c r="C38" s="15"/>
      <c r="D38" s="16"/>
      <c r="E38" s="13"/>
      <c r="F38" s="14"/>
    </row>
    <row r="39" spans="1:7" ht="51.95" customHeight="1">
      <c r="A39" s="11"/>
      <c r="B39" s="25" t="s">
        <v>13</v>
      </c>
      <c r="C39" s="26" t="s">
        <v>327</v>
      </c>
      <c r="D39" s="25" t="s">
        <v>329</v>
      </c>
      <c r="E39" s="47">
        <f>E21</f>
        <v>0</v>
      </c>
      <c r="F39" s="116" t="s">
        <v>328</v>
      </c>
      <c r="G39" s="43" t="s">
        <v>266</v>
      </c>
    </row>
    <row r="40" spans="1:7" ht="51.95" customHeight="1">
      <c r="B40" s="40" t="s">
        <v>157</v>
      </c>
      <c r="C40" s="33" t="s">
        <v>156</v>
      </c>
      <c r="D40" s="36" t="s">
        <v>404</v>
      </c>
      <c r="E40" s="64">
        <f>E22</f>
        <v>0.10610799999999998</v>
      </c>
      <c r="F40" s="120" t="s">
        <v>431</v>
      </c>
      <c r="G40" s="44" t="s">
        <v>266</v>
      </c>
    </row>
    <row r="41" spans="1:7" ht="51.95" customHeight="1">
      <c r="B41" s="40" t="s">
        <v>168</v>
      </c>
      <c r="C41" s="7" t="s">
        <v>170</v>
      </c>
      <c r="D41" s="36" t="s">
        <v>404</v>
      </c>
      <c r="E41" s="64">
        <f>E23</f>
        <v>0.106</v>
      </c>
      <c r="F41" s="120" t="s">
        <v>432</v>
      </c>
      <c r="G41" s="44" t="s">
        <v>266</v>
      </c>
    </row>
    <row r="42" spans="1:7" ht="51.95" customHeight="1">
      <c r="B42" s="36" t="s">
        <v>267</v>
      </c>
      <c r="C42" s="7" t="s">
        <v>268</v>
      </c>
      <c r="D42" s="36" t="s">
        <v>179</v>
      </c>
      <c r="E42" s="95"/>
      <c r="F42" s="120" t="s">
        <v>353</v>
      </c>
      <c r="G42" s="96"/>
    </row>
    <row r="43" spans="1:7" ht="51.95" customHeight="1" thickBot="1">
      <c r="B43" s="37" t="s">
        <v>277</v>
      </c>
      <c r="C43" s="30" t="s">
        <v>278</v>
      </c>
      <c r="D43" s="37" t="s">
        <v>405</v>
      </c>
      <c r="E43" s="104"/>
      <c r="F43" s="124" t="s">
        <v>354</v>
      </c>
      <c r="G43" s="105" t="str">
        <f>IF(E43=23.921,F185,IF(E43=63,F186,""))</f>
        <v/>
      </c>
    </row>
    <row r="44" spans="1:7" ht="16.5" thickBot="1"/>
    <row r="45" spans="1:7" ht="26.1" customHeight="1" thickBot="1">
      <c r="A45" s="35"/>
      <c r="B45" s="138" t="s">
        <v>8</v>
      </c>
      <c r="C45" s="139" t="s">
        <v>271</v>
      </c>
      <c r="D45" s="136"/>
      <c r="E45" s="136"/>
      <c r="F45" s="140" t="s">
        <v>2</v>
      </c>
    </row>
    <row r="46" spans="1:7" ht="6.95" customHeight="1" thickBot="1">
      <c r="A46" s="27"/>
      <c r="B46" s="15"/>
      <c r="C46" s="15"/>
      <c r="D46" s="16"/>
      <c r="E46" s="13"/>
      <c r="F46" s="14"/>
    </row>
    <row r="47" spans="1:7" s="5" customFormat="1" ht="60" customHeight="1">
      <c r="A47" s="8"/>
      <c r="B47" s="25" t="s">
        <v>14</v>
      </c>
      <c r="C47" s="26" t="s">
        <v>287</v>
      </c>
      <c r="D47" s="359"/>
      <c r="E47" s="359"/>
      <c r="F47" s="116" t="str">
        <f>IF(D47=15%,F178,IF(D47=25%,F179,IF(D47=35%,F180,"")))</f>
        <v/>
      </c>
      <c r="G47" s="1"/>
    </row>
    <row r="48" spans="1:7" s="5" customFormat="1" ht="60" customHeight="1">
      <c r="A48" s="8"/>
      <c r="B48" s="6" t="s">
        <v>15</v>
      </c>
      <c r="C48" s="7" t="s">
        <v>392</v>
      </c>
      <c r="D48" s="360"/>
      <c r="E48" s="360"/>
      <c r="F48" s="24" t="str">
        <f>IF(D48="","",IF(D48=C174,F174,F175))</f>
        <v/>
      </c>
      <c r="G48" s="1"/>
    </row>
    <row r="50" spans="2:6" ht="16.5" thickBot="1"/>
    <row r="51" spans="2:6" ht="26.1" customHeight="1" thickBot="1">
      <c r="C51" s="135" t="s">
        <v>174</v>
      </c>
      <c r="D51" s="136" t="s">
        <v>4</v>
      </c>
      <c r="E51" s="136" t="s">
        <v>3</v>
      </c>
      <c r="F51" s="137" t="s">
        <v>2</v>
      </c>
    </row>
    <row r="52" spans="2:6" ht="6.95" customHeight="1" thickBot="1">
      <c r="C52" s="15"/>
      <c r="D52" s="16"/>
      <c r="E52" s="57"/>
    </row>
    <row r="53" spans="2:6" ht="30" customHeight="1" thickBot="1">
      <c r="B53" s="144" t="s">
        <v>14</v>
      </c>
      <c r="C53" s="145" t="str">
        <f>C47</f>
        <v xml:space="preserve"> Promoção da eficiência energética </v>
      </c>
      <c r="D53" s="146"/>
      <c r="E53" s="146"/>
      <c r="F53" s="147"/>
    </row>
    <row r="54" spans="2:6" ht="51.95" customHeight="1">
      <c r="C54" s="141" t="s">
        <v>350</v>
      </c>
      <c r="D54" s="142" t="str">
        <f>IFERROR('Folha de Apoio'!W2/1000,"")</f>
        <v/>
      </c>
      <c r="E54" s="10" t="s">
        <v>400</v>
      </c>
      <c r="F54" s="143" t="s">
        <v>433</v>
      </c>
    </row>
    <row r="55" spans="2:6" ht="51.95" customHeight="1">
      <c r="C55" s="98" t="s">
        <v>361</v>
      </c>
      <c r="D55" s="66" t="str">
        <f>IFERROR((D27-D54)/D27,"")</f>
        <v/>
      </c>
      <c r="E55" s="59" t="s">
        <v>179</v>
      </c>
      <c r="F55" s="126" t="s">
        <v>355</v>
      </c>
    </row>
    <row r="56" spans="2:6" ht="51.95" customHeight="1">
      <c r="C56" s="97" t="s">
        <v>362</v>
      </c>
      <c r="D56" s="67" t="str">
        <f>IFERROR(IF(E43="","",+(D27-D54)*E43),"")</f>
        <v/>
      </c>
      <c r="E56" s="58" t="s">
        <v>276</v>
      </c>
      <c r="F56" s="127" t="s">
        <v>356</v>
      </c>
    </row>
    <row r="57" spans="2:6" ht="51.95" customHeight="1">
      <c r="C57" s="7" t="s">
        <v>334</v>
      </c>
      <c r="D57" s="48" t="str">
        <f>IFERROR(D54*'Folha de Apoio'!V29,"")</f>
        <v/>
      </c>
      <c r="E57" s="6" t="s">
        <v>400</v>
      </c>
      <c r="F57" s="128" t="s">
        <v>434</v>
      </c>
    </row>
    <row r="58" spans="2:6" ht="51.95" customHeight="1">
      <c r="C58" s="7" t="s">
        <v>330</v>
      </c>
      <c r="D58" s="48" t="str">
        <f>IFERROR(D54*'Folha de Apoio'!V31,"")</f>
        <v/>
      </c>
      <c r="E58" s="10" t="s">
        <v>400</v>
      </c>
      <c r="F58" s="128" t="s">
        <v>435</v>
      </c>
    </row>
    <row r="59" spans="2:6" ht="51.95" customHeight="1">
      <c r="C59" s="133" t="s">
        <v>320</v>
      </c>
      <c r="D59" s="134" t="str">
        <f>IFERROR(D57/E21*1000,"")</f>
        <v/>
      </c>
      <c r="E59" s="99" t="s">
        <v>402</v>
      </c>
      <c r="F59" s="129" t="s">
        <v>436</v>
      </c>
    </row>
    <row r="60" spans="2:6" ht="51.95" customHeight="1">
      <c r="C60" s="100" t="s">
        <v>335</v>
      </c>
      <c r="D60" s="101" t="str">
        <f>IFERROR(IF(E43="","",(D30-D59)/1000*E43),"")</f>
        <v/>
      </c>
      <c r="E60" s="102" t="s">
        <v>336</v>
      </c>
      <c r="F60" s="130" t="s">
        <v>337</v>
      </c>
    </row>
    <row r="61" spans="2:6" ht="51.95" customHeight="1">
      <c r="C61" s="9" t="s">
        <v>241</v>
      </c>
      <c r="D61" s="72" t="str">
        <f>IFERROR(D58/'Folha de Apoio'!W32/365*1000,"")</f>
        <v/>
      </c>
      <c r="E61" s="65" t="s">
        <v>406</v>
      </c>
      <c r="F61" s="131" t="s">
        <v>437</v>
      </c>
    </row>
    <row r="62" spans="2:6" ht="51.95" customHeight="1">
      <c r="C62" s="100" t="s">
        <v>297</v>
      </c>
      <c r="D62" s="101" t="str">
        <f>IFERROR(IF(E43="","",(D31-D61)/1000*E43),"")</f>
        <v/>
      </c>
      <c r="E62" s="102" t="s">
        <v>393</v>
      </c>
      <c r="F62" s="130" t="s">
        <v>394</v>
      </c>
    </row>
    <row r="63" spans="2:6" ht="51.95" customHeight="1" thickBot="1">
      <c r="C63" s="73" t="s">
        <v>199</v>
      </c>
      <c r="D63" s="74" t="str">
        <f>IFERROR('Folha de Apoio'!AB38,"")</f>
        <v/>
      </c>
      <c r="E63" s="71" t="s">
        <v>179</v>
      </c>
      <c r="F63" s="132" t="s">
        <v>357</v>
      </c>
    </row>
    <row r="64" spans="2:6" ht="6.95" customHeight="1" thickBot="1">
      <c r="C64" s="15"/>
      <c r="D64" s="16"/>
      <c r="E64" s="57"/>
    </row>
    <row r="65" spans="2:6" ht="30" customHeight="1" thickBot="1">
      <c r="B65" s="144" t="s">
        <v>15</v>
      </c>
      <c r="C65" s="145" t="str">
        <f>IF(D48="","",D48)</f>
        <v/>
      </c>
      <c r="D65" s="146"/>
      <c r="E65" s="146"/>
      <c r="F65" s="147"/>
    </row>
    <row r="66" spans="2:6" ht="51.95" customHeight="1">
      <c r="C66" s="141" t="s">
        <v>350</v>
      </c>
      <c r="D66" s="142" t="str">
        <f>IFERROR('Folha de Apoio'!AG2/1000,"")</f>
        <v/>
      </c>
      <c r="E66" s="10" t="s">
        <v>400</v>
      </c>
      <c r="F66" s="143" t="s">
        <v>438</v>
      </c>
    </row>
    <row r="67" spans="2:6" ht="51.95" customHeight="1">
      <c r="C67" s="98" t="s">
        <v>361</v>
      </c>
      <c r="D67" s="66" t="str">
        <f>IFERROR((D27-D66)/D27,"")</f>
        <v/>
      </c>
      <c r="E67" s="59" t="s">
        <v>179</v>
      </c>
      <c r="F67" s="126" t="s">
        <v>358</v>
      </c>
    </row>
    <row r="68" spans="2:6" ht="51.95" customHeight="1">
      <c r="C68" s="97" t="s">
        <v>362</v>
      </c>
      <c r="D68" s="67" t="str">
        <f>IFERROR(IF(E43="","",+(D27-D66)*E43),"")</f>
        <v/>
      </c>
      <c r="E68" s="58" t="s">
        <v>276</v>
      </c>
      <c r="F68" s="127" t="s">
        <v>359</v>
      </c>
    </row>
    <row r="69" spans="2:6" ht="51.95" customHeight="1">
      <c r="C69" s="7" t="s">
        <v>334</v>
      </c>
      <c r="D69" s="48" t="str">
        <f>IFERROR(D66*'Folha de Apoio'!B29,"")</f>
        <v/>
      </c>
      <c r="E69" s="6" t="s">
        <v>400</v>
      </c>
      <c r="F69" s="128" t="s">
        <v>439</v>
      </c>
    </row>
    <row r="70" spans="2:6" ht="51.95" customHeight="1">
      <c r="C70" s="7" t="s">
        <v>330</v>
      </c>
      <c r="D70" s="48" t="str">
        <f>IFERROR(D66*'Folha de Apoio'!B31,"")</f>
        <v/>
      </c>
      <c r="E70" s="10" t="s">
        <v>400</v>
      </c>
      <c r="F70" s="128" t="s">
        <v>440</v>
      </c>
    </row>
    <row r="71" spans="2:6" ht="51.95" customHeight="1">
      <c r="C71" s="133" t="s">
        <v>320</v>
      </c>
      <c r="D71" s="134" t="str">
        <f>IFERROR(D69/E21*1000,"")</f>
        <v/>
      </c>
      <c r="E71" s="99" t="s">
        <v>402</v>
      </c>
      <c r="F71" s="129" t="s">
        <v>441</v>
      </c>
    </row>
    <row r="72" spans="2:6" ht="51.95" customHeight="1">
      <c r="C72" s="100" t="s">
        <v>335</v>
      </c>
      <c r="D72" s="101" t="str">
        <f>IFERROR(IF(E43="","",(D30-D71)/1000*E43),"")</f>
        <v/>
      </c>
      <c r="E72" s="102" t="s">
        <v>336</v>
      </c>
      <c r="F72" s="130" t="s">
        <v>338</v>
      </c>
    </row>
    <row r="73" spans="2:6" ht="51.95" customHeight="1">
      <c r="C73" s="9" t="s">
        <v>241</v>
      </c>
      <c r="D73" s="72" t="str">
        <f>IFERROR(D70/'Folha de Apoio'!W32/365*1000,"")</f>
        <v/>
      </c>
      <c r="E73" s="155" t="s">
        <v>406</v>
      </c>
      <c r="F73" s="131" t="s">
        <v>442</v>
      </c>
    </row>
    <row r="74" spans="2:6" ht="51.95" customHeight="1">
      <c r="C74" s="100" t="s">
        <v>297</v>
      </c>
      <c r="D74" s="101" t="str">
        <f>IFERROR(IF(E43="","",(D31-D73)/1000*E43),"")</f>
        <v/>
      </c>
      <c r="E74" s="102" t="s">
        <v>393</v>
      </c>
      <c r="F74" s="130" t="s">
        <v>395</v>
      </c>
    </row>
    <row r="75" spans="2:6" ht="51.95" customHeight="1" thickBot="1">
      <c r="C75" s="73" t="s">
        <v>199</v>
      </c>
      <c r="D75" s="74" t="str">
        <f>IFERROR('Folha de Apoio'!AL38,"")</f>
        <v/>
      </c>
      <c r="E75" s="71" t="s">
        <v>179</v>
      </c>
      <c r="F75" s="132" t="s">
        <v>360</v>
      </c>
    </row>
    <row r="165" spans="3:6" hidden="1"/>
    <row r="166" spans="3:6" hidden="1">
      <c r="D166" s="11"/>
    </row>
    <row r="167" spans="3:6" hidden="1">
      <c r="C167" s="46" t="s">
        <v>269</v>
      </c>
      <c r="D167" s="11"/>
    </row>
    <row r="168" spans="3:6" hidden="1">
      <c r="C168" s="45">
        <v>0.25</v>
      </c>
      <c r="D168" s="11"/>
    </row>
    <row r="169" spans="3:6" hidden="1">
      <c r="C169" s="45">
        <v>0.5</v>
      </c>
      <c r="D169" s="11"/>
    </row>
    <row r="170" spans="3:6" hidden="1">
      <c r="C170" s="45">
        <v>0.75</v>
      </c>
      <c r="D170" s="11"/>
    </row>
    <row r="171" spans="3:6" hidden="1">
      <c r="C171" s="45">
        <v>1</v>
      </c>
      <c r="D171" s="11"/>
    </row>
    <row r="172" spans="3:6" hidden="1">
      <c r="D172" s="11"/>
    </row>
    <row r="173" spans="3:6" hidden="1">
      <c r="D173" s="11"/>
    </row>
    <row r="174" spans="3:6" ht="30" hidden="1">
      <c r="C174" s="7" t="s">
        <v>300</v>
      </c>
      <c r="D174" s="11"/>
      <c r="F174" s="120" t="s">
        <v>285</v>
      </c>
    </row>
    <row r="175" spans="3:6" ht="30.75" hidden="1" thickBot="1">
      <c r="C175" s="30" t="s">
        <v>301</v>
      </c>
      <c r="F175" s="60" t="s">
        <v>286</v>
      </c>
    </row>
    <row r="176" spans="3:6" hidden="1"/>
    <row r="177" spans="3:6" hidden="1"/>
    <row r="178" spans="3:6" hidden="1">
      <c r="C178" s="46" t="s">
        <v>299</v>
      </c>
      <c r="F178" s="1" t="s">
        <v>331</v>
      </c>
    </row>
    <row r="179" spans="3:6" hidden="1">
      <c r="C179" s="45">
        <v>0.15</v>
      </c>
      <c r="F179" s="1" t="s">
        <v>332</v>
      </c>
    </row>
    <row r="180" spans="3:6" hidden="1">
      <c r="C180" s="45">
        <v>0.25</v>
      </c>
      <c r="F180" s="1" t="s">
        <v>333</v>
      </c>
    </row>
    <row r="181" spans="3:6" hidden="1">
      <c r="C181" s="45">
        <v>0.35</v>
      </c>
    </row>
    <row r="182" spans="3:6" hidden="1"/>
    <row r="183" spans="3:6" hidden="1"/>
    <row r="184" spans="3:6" hidden="1"/>
    <row r="185" spans="3:6" hidden="1">
      <c r="C185" s="7">
        <v>23.920999999999999</v>
      </c>
      <c r="D185" s="11"/>
      <c r="F185" s="78" t="s">
        <v>310</v>
      </c>
    </row>
    <row r="186" spans="3:6" ht="30.75" hidden="1" thickBot="1">
      <c r="C186" s="30">
        <v>63</v>
      </c>
      <c r="F186" s="77" t="s">
        <v>311</v>
      </c>
    </row>
    <row r="187" spans="3:6" hidden="1"/>
  </sheetData>
  <sheetProtection algorithmName="SHA-512" hashValue="UpnD/X5qNfqUQ+MWUf2dKZ6WPfpG7bvHTG9mJIM1tBr6SXx1aJf4h2KDrK/Ll9Gmh05F7t2HVTFkxYBaQUM1NQ==" saltValue="1n/RgIgpPSIcL7TJFJh+yw==" spinCount="100000" sheet="1" objects="1" scenarios="1" selectLockedCells="1"/>
  <mergeCells count="5">
    <mergeCell ref="B7:C7"/>
    <mergeCell ref="D47:E47"/>
    <mergeCell ref="D48:E48"/>
    <mergeCell ref="D11:E11"/>
    <mergeCell ref="D13:E13"/>
  </mergeCells>
  <dataValidations count="4">
    <dataValidation type="list" allowBlank="1" showInputMessage="1" showErrorMessage="1" sqref="E42" xr:uid="{9EEC76D4-6985-2045-9321-D37C197791E6}">
      <formula1>$C$168:$C$171</formula1>
    </dataValidation>
    <dataValidation type="list" allowBlank="1" showInputMessage="1" showErrorMessage="1" sqref="D48" xr:uid="{76E64D57-4B7B-F14F-A781-8D770F74E9E8}">
      <formula1>$C$174:$C$175</formula1>
    </dataValidation>
    <dataValidation type="list" allowBlank="1" showInputMessage="1" showErrorMessage="1" sqref="D47:E47" xr:uid="{55A1105E-9362-1348-A38A-269EA6831249}">
      <formula1>$C$179:$C$181</formula1>
    </dataValidation>
    <dataValidation type="list" allowBlank="1" showInputMessage="1" showErrorMessage="1" sqref="E43" xr:uid="{C0D55AFB-06D2-D949-B8C6-CB609C1C9EA6}">
      <formula1>$C$185:$C$186</formula1>
    </dataValidation>
  </dataValidation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1E0D7-5275-419B-A7A7-914494E66AFE}">
  <dimension ref="B1:AM165"/>
  <sheetViews>
    <sheetView zoomScale="90" zoomScaleNormal="90" workbookViewId="0"/>
  </sheetViews>
  <sheetFormatPr defaultColWidth="8.875" defaultRowHeight="15.75"/>
  <cols>
    <col min="1" max="1" width="4.375" style="289" customWidth="1"/>
    <col min="2" max="2" width="8.875" style="288"/>
    <col min="3" max="3" width="19.5" style="288" customWidth="1"/>
    <col min="4" max="4" width="15" style="288" customWidth="1"/>
    <col min="5" max="6" width="18.875" style="289" customWidth="1"/>
    <col min="7" max="7" width="11.875" style="289" customWidth="1"/>
    <col min="8" max="8" width="13.875" style="289" customWidth="1"/>
    <col min="9" max="9" width="12.625" style="289" customWidth="1"/>
    <col min="10" max="10" width="7.875" style="289" customWidth="1"/>
    <col min="11" max="12" width="8.875" style="289" customWidth="1"/>
    <col min="13" max="13" width="19.5" style="289" customWidth="1"/>
    <col min="14" max="14" width="13.625" style="289" customWidth="1"/>
    <col min="15" max="15" width="14.125" style="289" customWidth="1"/>
    <col min="16" max="16" width="16" style="289" customWidth="1"/>
    <col min="17" max="17" width="11.875" style="289" customWidth="1"/>
    <col min="18" max="18" width="12.375" style="289" customWidth="1"/>
    <col min="19" max="19" width="14.5" style="289" customWidth="1"/>
    <col min="20" max="20" width="7.875" style="289" customWidth="1"/>
    <col min="21" max="21" width="8.875" style="289"/>
    <col min="22" max="22" width="8.875" style="289" customWidth="1"/>
    <col min="23" max="23" width="19.5" style="289" customWidth="1"/>
    <col min="24" max="24" width="13.625" style="289" customWidth="1"/>
    <col min="25" max="25" width="14.125" style="289" customWidth="1"/>
    <col min="26" max="26" width="16" style="289" customWidth="1"/>
    <col min="27" max="27" width="11.875" style="289" customWidth="1"/>
    <col min="28" max="28" width="12.375" style="289" customWidth="1"/>
    <col min="29" max="29" width="14.5" style="289" customWidth="1"/>
    <col min="30" max="30" width="7.875" style="289" customWidth="1"/>
    <col min="31" max="31" width="8.875" style="289"/>
    <col min="32" max="32" width="8.875" style="289" customWidth="1"/>
    <col min="33" max="33" width="19.5" style="289" customWidth="1"/>
    <col min="34" max="34" width="13.625" style="289" customWidth="1"/>
    <col min="35" max="35" width="14.125" style="289" customWidth="1"/>
    <col min="36" max="36" width="16" style="289" customWidth="1"/>
    <col min="37" max="37" width="11.875" style="289" customWidth="1"/>
    <col min="38" max="38" width="12.375" style="289" customWidth="1"/>
    <col min="39" max="39" width="14.5" style="289" customWidth="1"/>
    <col min="40" max="16384" width="8.875" style="289"/>
  </cols>
  <sheetData>
    <row r="1" spans="2:39" ht="21">
      <c r="C1" s="283" t="s">
        <v>231</v>
      </c>
      <c r="J1" s="295"/>
      <c r="L1" s="288"/>
      <c r="M1" s="283" t="s">
        <v>282</v>
      </c>
      <c r="N1" s="288"/>
      <c r="T1" s="295"/>
      <c r="V1" s="288"/>
      <c r="W1" s="283" t="s">
        <v>295</v>
      </c>
      <c r="X1" s="288"/>
      <c r="AD1" s="295"/>
      <c r="AF1" s="288"/>
      <c r="AG1" s="283" t="s">
        <v>296</v>
      </c>
      <c r="AH1" s="288"/>
    </row>
    <row r="2" spans="2:39" ht="21">
      <c r="C2" s="297" t="str">
        <f>IF(I6+I12+G42=0,"",I6+I12+G42)</f>
        <v/>
      </c>
      <c r="J2" s="295"/>
      <c r="L2" s="288"/>
      <c r="M2" s="297" t="e">
        <f>IF(S6+S12+G42=0,"",S6+S12+G42)</f>
        <v>#DIV/0!</v>
      </c>
      <c r="N2" s="288"/>
      <c r="O2" s="289" t="s">
        <v>283</v>
      </c>
      <c r="P2" s="298" t="e">
        <f>PROJEÇÕES!E21/DADOS_INVENTÁRIO!E39</f>
        <v>#DIV/0!</v>
      </c>
      <c r="Q2" s="289" t="s">
        <v>284</v>
      </c>
      <c r="T2" s="295"/>
      <c r="V2" s="288"/>
      <c r="W2" s="297" t="e">
        <f>IF(S6+S12=0,"",AC6+AC12+G42)</f>
        <v>#DIV/0!</v>
      </c>
      <c r="X2" s="288"/>
      <c r="Y2" s="299" t="s">
        <v>288</v>
      </c>
      <c r="Z2" s="300">
        <f>PROJEÇÕES!D47</f>
        <v>0</v>
      </c>
      <c r="AD2" s="295"/>
      <c r="AF2" s="288"/>
      <c r="AG2" s="297" t="e">
        <f>IF(AC6+AC12=0,"",AM6+AM12+G42)</f>
        <v>#DIV/0!</v>
      </c>
      <c r="AH2" s="288"/>
    </row>
    <row r="3" spans="2:39" ht="21" customHeight="1">
      <c r="J3" s="295"/>
      <c r="L3" s="288"/>
      <c r="M3" s="288"/>
      <c r="N3" s="288"/>
      <c r="P3" s="301"/>
      <c r="T3" s="295"/>
      <c r="V3" s="288"/>
      <c r="W3" s="288"/>
      <c r="X3" s="288"/>
      <c r="Y3" s="289" t="s">
        <v>290</v>
      </c>
      <c r="Z3" s="301">
        <f>PROJEÇÕES!E42</f>
        <v>0</v>
      </c>
      <c r="AD3" s="295"/>
      <c r="AF3" s="288"/>
      <c r="AG3" s="288"/>
      <c r="AH3" s="288"/>
      <c r="AI3" s="299" t="s">
        <v>289</v>
      </c>
      <c r="AJ3" s="300" t="str">
        <f>IF(PROJEÇÕES!D48="","",IF(PROJEÇÕES!D48="Eficiência energética (C1) &amp; Eletrificação (50%)",50%,100%))</f>
        <v/>
      </c>
    </row>
    <row r="4" spans="2:39" ht="26.25">
      <c r="C4" s="289"/>
      <c r="D4" s="302"/>
      <c r="F4" s="302"/>
      <c r="G4" s="302"/>
      <c r="H4" s="284" t="s">
        <v>212</v>
      </c>
      <c r="I4" s="303" t="s">
        <v>215</v>
      </c>
      <c r="J4" s="295"/>
      <c r="K4" s="284"/>
      <c r="L4" s="288"/>
      <c r="N4" s="302"/>
      <c r="P4" s="302"/>
      <c r="Q4" s="302"/>
      <c r="R4" s="284" t="s">
        <v>212</v>
      </c>
      <c r="S4" s="303" t="s">
        <v>215</v>
      </c>
      <c r="T4" s="295"/>
      <c r="V4" s="288"/>
      <c r="X4" s="302"/>
      <c r="Z4" s="302"/>
      <c r="AA4" s="302"/>
      <c r="AB4" s="284" t="s">
        <v>212</v>
      </c>
      <c r="AC4" s="303" t="s">
        <v>215</v>
      </c>
      <c r="AD4" s="295"/>
      <c r="AF4" s="288"/>
      <c r="AH4" s="302"/>
      <c r="AJ4" s="302"/>
      <c r="AK4" s="302"/>
      <c r="AL4" s="284" t="s">
        <v>212</v>
      </c>
      <c r="AM4" s="303" t="s">
        <v>215</v>
      </c>
    </row>
    <row r="5" spans="2:39">
      <c r="B5" s="287" t="s">
        <v>188</v>
      </c>
      <c r="C5" s="289"/>
      <c r="D5" s="304" t="s">
        <v>195</v>
      </c>
      <c r="E5" s="304" t="s">
        <v>196</v>
      </c>
      <c r="F5" s="304" t="s">
        <v>194</v>
      </c>
      <c r="G5" s="304" t="s">
        <v>205</v>
      </c>
      <c r="H5" s="304" t="s">
        <v>238</v>
      </c>
      <c r="I5" s="284" t="s">
        <v>212</v>
      </c>
      <c r="J5" s="295"/>
      <c r="K5" s="284"/>
      <c r="L5" s="287" t="s">
        <v>188</v>
      </c>
      <c r="N5" s="304" t="s">
        <v>195</v>
      </c>
      <c r="O5" s="304" t="s">
        <v>196</v>
      </c>
      <c r="P5" s="305" t="s">
        <v>281</v>
      </c>
      <c r="Q5" s="304" t="s">
        <v>205</v>
      </c>
      <c r="R5" s="304" t="s">
        <v>238</v>
      </c>
      <c r="S5" s="284" t="s">
        <v>212</v>
      </c>
      <c r="T5" s="295"/>
      <c r="V5" s="287" t="s">
        <v>188</v>
      </c>
      <c r="X5" s="304" t="s">
        <v>195</v>
      </c>
      <c r="Y5" s="304" t="s">
        <v>196</v>
      </c>
      <c r="Z5" s="305" t="s">
        <v>281</v>
      </c>
      <c r="AA5" s="304" t="s">
        <v>205</v>
      </c>
      <c r="AB5" s="304" t="s">
        <v>238</v>
      </c>
      <c r="AC5" s="284" t="s">
        <v>212</v>
      </c>
      <c r="AD5" s="295"/>
      <c r="AF5" s="287" t="s">
        <v>188</v>
      </c>
      <c r="AH5" s="304" t="s">
        <v>195</v>
      </c>
      <c r="AI5" s="304" t="s">
        <v>196</v>
      </c>
      <c r="AJ5" s="305" t="s">
        <v>281</v>
      </c>
      <c r="AK5" s="304" t="s">
        <v>205</v>
      </c>
      <c r="AL5" s="304" t="s">
        <v>238</v>
      </c>
      <c r="AM5" s="284" t="s">
        <v>212</v>
      </c>
    </row>
    <row r="6" spans="2:39">
      <c r="B6" s="289" t="s">
        <v>14</v>
      </c>
      <c r="C6" s="289" t="s">
        <v>228</v>
      </c>
      <c r="D6" s="306">
        <f>DADOS_INVENTÁRIO!E45</f>
        <v>0</v>
      </c>
      <c r="E6" s="306">
        <f>IF(DADOS_INVENTÁRIO!D68="",0,IF(DADOS_INVENTÁRIO!D68="NÃO",0,IF(DADOS_INVENTÁRIO!D69="SIM",DADOS_INVENTÁRIO!E78,IF(DADOS_INVENTÁRIO!D69="NÃO",'Folha de Apoio'!D6*'Folha de Apoio'!C26,0))))</f>
        <v>0</v>
      </c>
      <c r="F6" s="306">
        <f>IF(DADOS_INVENTÁRIO!D91="SIM",IF(DADOS_INVENTÁRIO!D92="SIM",DADOS_INVENTÁRIO!E95,DADOS_INVENTÁRIO!E98*180),0)</f>
        <v>0</v>
      </c>
      <c r="G6" s="306">
        <f>D6-E6+F6</f>
        <v>0</v>
      </c>
      <c r="H6" s="306">
        <f>(G6-F6)*DADOS_INVENTÁRIO!E200+F6*DADOS_INVENTÁRIO!E206</f>
        <v>0</v>
      </c>
      <c r="I6" s="362">
        <f>SUM(H6:H9)</f>
        <v>0</v>
      </c>
      <c r="J6" s="295"/>
      <c r="K6" s="285"/>
      <c r="L6" s="289" t="s">
        <v>14</v>
      </c>
      <c r="M6" s="289" t="s">
        <v>228</v>
      </c>
      <c r="N6" s="306" t="e">
        <f>D6*$P$2</f>
        <v>#DIV/0!</v>
      </c>
      <c r="O6" s="306">
        <f>IF(E6&gt;0,N6*$C$26,0)</f>
        <v>0</v>
      </c>
      <c r="P6" s="306" t="e">
        <f>F6*$P$2</f>
        <v>#DIV/0!</v>
      </c>
      <c r="Q6" s="306" t="e">
        <f>N6-O6+P6</f>
        <v>#DIV/0!</v>
      </c>
      <c r="R6" s="306" t="e">
        <f>(Q6-P6)*PROJEÇÕES!E22+P6*PROJEÇÕES!E23</f>
        <v>#DIV/0!</v>
      </c>
      <c r="S6" s="362" t="e">
        <f>SUM(R6:R9)</f>
        <v>#DIV/0!</v>
      </c>
      <c r="T6" s="295"/>
      <c r="V6" s="289" t="s">
        <v>14</v>
      </c>
      <c r="W6" s="289" t="s">
        <v>228</v>
      </c>
      <c r="X6" s="306" t="e">
        <f>N6*(1-$Z$2)</f>
        <v>#DIV/0!</v>
      </c>
      <c r="Y6" s="306">
        <f>IF(O6&gt;0,X6*$C$26,0)</f>
        <v>0</v>
      </c>
      <c r="Z6" s="306" t="e">
        <f>P6</f>
        <v>#DIV/0!</v>
      </c>
      <c r="AA6" s="306" t="e">
        <f>X6-Y6+Z6-(R34*0.2)</f>
        <v>#DIV/0!</v>
      </c>
      <c r="AB6" s="306" t="e">
        <f>(AA6-Z6)*$X$43+Z6*X41</f>
        <v>#DIV/0!</v>
      </c>
      <c r="AC6" s="362" t="e">
        <f>SUM(AB6:AB9)</f>
        <v>#DIV/0!</v>
      </c>
      <c r="AD6" s="295"/>
      <c r="AF6" s="289" t="s">
        <v>14</v>
      </c>
      <c r="AG6" s="289" t="s">
        <v>228</v>
      </c>
      <c r="AH6" s="306" t="e">
        <f>X6+X7*AJ3+X8*AJ3*AI10+X9*AJ3</f>
        <v>#DIV/0!</v>
      </c>
      <c r="AI6" s="306">
        <f>IF(Y6&gt;0,AH6*$C$26,0)</f>
        <v>0</v>
      </c>
      <c r="AJ6" s="306" t="e">
        <f>Z6</f>
        <v>#DIV/0!</v>
      </c>
      <c r="AK6" s="306" t="e">
        <f>AH6-AI6+AJ6-(R34*0.2)</f>
        <v>#DIV/0!</v>
      </c>
      <c r="AL6" s="306" t="e">
        <f>(AK6-AJ6)*X43+AJ6*X41</f>
        <v>#DIV/0!</v>
      </c>
      <c r="AM6" s="362" t="e">
        <f>SUM(AL6:AL9)</f>
        <v>#DIV/0!</v>
      </c>
    </row>
    <row r="7" spans="2:39">
      <c r="B7" s="289" t="s">
        <v>15</v>
      </c>
      <c r="C7" s="289" t="s">
        <v>229</v>
      </c>
      <c r="D7" s="306">
        <f>DADOS_INVENTÁRIO!E48</f>
        <v>0</v>
      </c>
      <c r="E7" s="306">
        <f>IF(DADOS_INVENTÁRIO!D68="",0,IF(DADOS_INVENTÁRIO!D68="NÃO",0,IF(DADOS_INVENTÁRIO!D69="SIM",DADOS_INVENTÁRIO!E81,IF(DADOS_INVENTÁRIO!D69="NÃO",'Folha de Apoio'!D7*'Folha de Apoio'!C26,0))))</f>
        <v>0</v>
      </c>
      <c r="F7" s="307">
        <f>IF(DADOS_INVENTÁRIO!D91="SIM",IF(DADOS_INVENTÁRIO!D92="SIM",DADOS_INVENTÁRIO!E96,DADOS_INVENTÁRIO!E98*1560),0)</f>
        <v>0</v>
      </c>
      <c r="G7" s="306">
        <f>D7-E7+F7</f>
        <v>0</v>
      </c>
      <c r="H7" s="306">
        <f>G7*DADOS_INVENTÁRIO!E201</f>
        <v>0</v>
      </c>
      <c r="I7" s="363"/>
      <c r="J7" s="295"/>
      <c r="K7" s="286"/>
      <c r="L7" s="289" t="s">
        <v>15</v>
      </c>
      <c r="M7" s="289" t="s">
        <v>229</v>
      </c>
      <c r="N7" s="306" t="e">
        <f>D7*$P$2</f>
        <v>#DIV/0!</v>
      </c>
      <c r="O7" s="306">
        <f>IF(E7&gt;0,N7*$C$26,0)</f>
        <v>0</v>
      </c>
      <c r="P7" s="307" t="e">
        <f t="shared" ref="P7:P9" si="0">F7*$P$2</f>
        <v>#DIV/0!</v>
      </c>
      <c r="Q7" s="306" t="e">
        <f>N7-O7+P7</f>
        <v>#DIV/0!</v>
      </c>
      <c r="R7" s="306" t="e">
        <f>Q7*DADOS_INVENTÁRIO!E201</f>
        <v>#DIV/0!</v>
      </c>
      <c r="S7" s="363"/>
      <c r="T7" s="295"/>
      <c r="V7" s="289" t="s">
        <v>15</v>
      </c>
      <c r="W7" s="289" t="s">
        <v>229</v>
      </c>
      <c r="X7" s="306" t="e">
        <f t="shared" ref="X7:X9" si="1">N7*(1-$Z$2)</f>
        <v>#DIV/0!</v>
      </c>
      <c r="Y7" s="306">
        <f>IF(O7&gt;0,X7*$C$26,0)</f>
        <v>0</v>
      </c>
      <c r="Z7" s="307" t="e">
        <f t="shared" ref="Z7:Z9" si="2">P7</f>
        <v>#DIV/0!</v>
      </c>
      <c r="AA7" s="306" t="e">
        <f>X7-Y7+Z7</f>
        <v>#DIV/0!</v>
      </c>
      <c r="AB7" s="306" t="e">
        <f>AA7*DADOS_INVENTÁRIO!E201</f>
        <v>#DIV/0!</v>
      </c>
      <c r="AC7" s="363"/>
      <c r="AD7" s="295"/>
      <c r="AF7" s="289" t="s">
        <v>15</v>
      </c>
      <c r="AG7" s="289" t="s">
        <v>229</v>
      </c>
      <c r="AH7" s="306" t="e">
        <f>X7*(1-$AJ$3)</f>
        <v>#DIV/0!</v>
      </c>
      <c r="AI7" s="306">
        <f t="shared" ref="AI7:AI9" si="3">IF(Y7&gt;0,AH7*$C$26,0)</f>
        <v>0</v>
      </c>
      <c r="AJ7" s="307" t="e">
        <f t="shared" ref="AJ7:AJ9" si="4">Z7</f>
        <v>#DIV/0!</v>
      </c>
      <c r="AK7" s="306" t="e">
        <f>AH7-AI7+AJ7</f>
        <v>#DIV/0!</v>
      </c>
      <c r="AL7" s="306" t="e">
        <f>AK7*DADOS_INVENTÁRIO!E201</f>
        <v>#DIV/0!</v>
      </c>
      <c r="AM7" s="363"/>
    </row>
    <row r="8" spans="2:39">
      <c r="B8" s="289" t="s">
        <v>16</v>
      </c>
      <c r="C8" s="289" t="s">
        <v>227</v>
      </c>
      <c r="D8" s="306">
        <f>DADOS_INVENTÁRIO!E53</f>
        <v>0</v>
      </c>
      <c r="E8" s="306">
        <f>IF(DADOS_INVENTÁRIO!D68="",0,IF(DADOS_INVENTÁRIO!D68="NÃO",0,IF(DADOS_INVENTÁRIO!D69="SIM",DADOS_INVENTÁRIO!E86,IF(DADOS_INVENTÁRIO!D69="NÃO",'Folha de Apoio'!D8*'Folha de Apoio'!C26,0))))</f>
        <v>0</v>
      </c>
      <c r="F8" s="307">
        <f>IF(DADOS_INVENTÁRIO!D91="SIM",IF(DADOS_INVENTÁRIO!D92="SIM",DADOS_INVENTÁRIO!E97,DADOS_INVENTÁRIO!E98*111),0)</f>
        <v>0</v>
      </c>
      <c r="G8" s="306">
        <f>D8-E8+F8</f>
        <v>0</v>
      </c>
      <c r="H8" s="306">
        <f>G8*DADOS_INVENTÁRIO!E203</f>
        <v>0</v>
      </c>
      <c r="I8" s="363"/>
      <c r="J8" s="295"/>
      <c r="K8" s="286"/>
      <c r="L8" s="289" t="s">
        <v>16</v>
      </c>
      <c r="M8" s="289" t="s">
        <v>227</v>
      </c>
      <c r="N8" s="306" t="e">
        <f>D8*$P$2</f>
        <v>#DIV/0!</v>
      </c>
      <c r="O8" s="306">
        <f>IF(E8&gt;0,N8*$C$26,0)</f>
        <v>0</v>
      </c>
      <c r="P8" s="307" t="e">
        <f t="shared" si="0"/>
        <v>#DIV/0!</v>
      </c>
      <c r="Q8" s="306" t="e">
        <f>N8-O8+P8</f>
        <v>#DIV/0!</v>
      </c>
      <c r="R8" s="306" t="e">
        <f>Q8*DADOS_INVENTÁRIO!E203</f>
        <v>#DIV/0!</v>
      </c>
      <c r="S8" s="363"/>
      <c r="T8" s="295"/>
      <c r="V8" s="289" t="s">
        <v>16</v>
      </c>
      <c r="W8" s="289" t="s">
        <v>227</v>
      </c>
      <c r="X8" s="306" t="e">
        <f t="shared" si="1"/>
        <v>#DIV/0!</v>
      </c>
      <c r="Y8" s="306">
        <f>IF(O8&gt;0,X8*$C$26,0)</f>
        <v>0</v>
      </c>
      <c r="Z8" s="307" t="e">
        <f t="shared" si="2"/>
        <v>#DIV/0!</v>
      </c>
      <c r="AA8" s="306" t="e">
        <f>X8-Y8+Z8</f>
        <v>#DIV/0!</v>
      </c>
      <c r="AB8" s="306" t="e">
        <f>AA8*DADOS_INVENTÁRIO!E203</f>
        <v>#DIV/0!</v>
      </c>
      <c r="AC8" s="363"/>
      <c r="AD8" s="295"/>
      <c r="AF8" s="289" t="s">
        <v>16</v>
      </c>
      <c r="AG8" s="289" t="s">
        <v>227</v>
      </c>
      <c r="AH8" s="306" t="e">
        <f t="shared" ref="AH8:AH9" si="5">X8*(1-$AJ$3)</f>
        <v>#DIV/0!</v>
      </c>
      <c r="AI8" s="306">
        <f t="shared" si="3"/>
        <v>0</v>
      </c>
      <c r="AJ8" s="307" t="e">
        <f t="shared" si="4"/>
        <v>#DIV/0!</v>
      </c>
      <c r="AK8" s="306" t="e">
        <f>AH8-AI8+AJ8</f>
        <v>#DIV/0!</v>
      </c>
      <c r="AL8" s="306" t="e">
        <f>AK8*DADOS_INVENTÁRIO!E203</f>
        <v>#DIV/0!</v>
      </c>
      <c r="AM8" s="363"/>
    </row>
    <row r="9" spans="2:39">
      <c r="B9" s="308" t="s">
        <v>17</v>
      </c>
      <c r="C9" s="308" t="s">
        <v>230</v>
      </c>
      <c r="D9" s="309">
        <f>DADOS_INVENTÁRIO!E52</f>
        <v>0</v>
      </c>
      <c r="E9" s="309">
        <f>IF(DADOS_INVENTÁRIO!D68="",0,IF(DADOS_INVENTÁRIO!D68="NÃO",0,IF(DADOS_INVENTÁRIO!D69="SIM",DADOS_INVENTÁRIO!E85,IF(DADOS_INVENTÁRIO!D69="NÃO",'Folha de Apoio'!D9*'Folha de Apoio'!C26,0))))</f>
        <v>0</v>
      </c>
      <c r="F9" s="310"/>
      <c r="G9" s="309">
        <f t="shared" ref="G9" si="6">D9-E9</f>
        <v>0</v>
      </c>
      <c r="H9" s="309">
        <f>G9*DADOS_INVENTÁRIO!E202</f>
        <v>0</v>
      </c>
      <c r="I9" s="363"/>
      <c r="J9" s="295"/>
      <c r="K9" s="286"/>
      <c r="L9" s="308" t="s">
        <v>17</v>
      </c>
      <c r="M9" s="308" t="s">
        <v>230</v>
      </c>
      <c r="N9" s="309" t="e">
        <f>D9*$P$2</f>
        <v>#DIV/0!</v>
      </c>
      <c r="O9" s="309">
        <f>IF(E9&gt;0,N9*$C$26,0)</f>
        <v>0</v>
      </c>
      <c r="P9" s="310" t="e">
        <f t="shared" si="0"/>
        <v>#DIV/0!</v>
      </c>
      <c r="Q9" s="309" t="e">
        <f t="shared" ref="Q9" si="7">N9-O9</f>
        <v>#DIV/0!</v>
      </c>
      <c r="R9" s="309" t="e">
        <f>Q9*DADOS_INVENTÁRIO!E202</f>
        <v>#DIV/0!</v>
      </c>
      <c r="S9" s="363"/>
      <c r="T9" s="295"/>
      <c r="V9" s="308" t="s">
        <v>17</v>
      </c>
      <c r="W9" s="308" t="s">
        <v>230</v>
      </c>
      <c r="X9" s="309" t="e">
        <f t="shared" si="1"/>
        <v>#DIV/0!</v>
      </c>
      <c r="Y9" s="309">
        <f>IF(O9&gt;0,X9*$C$26,0)</f>
        <v>0</v>
      </c>
      <c r="Z9" s="310" t="e">
        <f t="shared" si="2"/>
        <v>#DIV/0!</v>
      </c>
      <c r="AA9" s="309" t="e">
        <f t="shared" ref="AA9" si="8">X9-Y9</f>
        <v>#DIV/0!</v>
      </c>
      <c r="AB9" s="309" t="e">
        <f>AA9*DADOS_INVENTÁRIO!E202</f>
        <v>#DIV/0!</v>
      </c>
      <c r="AC9" s="363"/>
      <c r="AD9" s="295"/>
      <c r="AF9" s="308" t="s">
        <v>17</v>
      </c>
      <c r="AG9" s="308" t="s">
        <v>230</v>
      </c>
      <c r="AH9" s="309" t="e">
        <f t="shared" si="5"/>
        <v>#DIV/0!</v>
      </c>
      <c r="AI9" s="309">
        <f t="shared" si="3"/>
        <v>0</v>
      </c>
      <c r="AJ9" s="310" t="e">
        <f t="shared" si="4"/>
        <v>#DIV/0!</v>
      </c>
      <c r="AK9" s="309" t="e">
        <f t="shared" ref="AK9" si="9">AH9-AI9</f>
        <v>#DIV/0!</v>
      </c>
      <c r="AL9" s="309" t="e">
        <f>AK9*DADOS_INVENTÁRIO!E202</f>
        <v>#DIV/0!</v>
      </c>
      <c r="AM9" s="363"/>
    </row>
    <row r="10" spans="2:39">
      <c r="B10" s="289"/>
      <c r="C10" s="289" t="s">
        <v>235</v>
      </c>
      <c r="E10" s="299">
        <v>9.9634130400000007</v>
      </c>
      <c r="F10" s="289" t="s">
        <v>236</v>
      </c>
      <c r="G10" s="306">
        <f>G8*E10</f>
        <v>0</v>
      </c>
      <c r="H10" s="306"/>
      <c r="J10" s="295"/>
      <c r="M10" s="289" t="s">
        <v>235</v>
      </c>
      <c r="N10" s="306"/>
      <c r="O10" s="299">
        <v>9.9634130400000007</v>
      </c>
      <c r="P10" s="289" t="s">
        <v>236</v>
      </c>
      <c r="Q10" s="306" t="e">
        <f>Q8*O10</f>
        <v>#DIV/0!</v>
      </c>
      <c r="R10" s="306"/>
      <c r="T10" s="295"/>
      <c r="W10" s="289" t="s">
        <v>235</v>
      </c>
      <c r="X10" s="306"/>
      <c r="Y10" s="299">
        <v>9.9634130400000007</v>
      </c>
      <c r="Z10" s="289" t="s">
        <v>236</v>
      </c>
      <c r="AA10" s="306" t="e">
        <f>AA8*Y10</f>
        <v>#DIV/0!</v>
      </c>
      <c r="AB10" s="306"/>
      <c r="AD10" s="295"/>
      <c r="AG10" s="289" t="s">
        <v>235</v>
      </c>
      <c r="AH10" s="306"/>
      <c r="AI10" s="299">
        <v>9.9634130400000007</v>
      </c>
      <c r="AJ10" s="289" t="s">
        <v>236</v>
      </c>
      <c r="AK10" s="306" t="e">
        <f>AK8*AI10</f>
        <v>#DIV/0!</v>
      </c>
      <c r="AL10" s="306"/>
    </row>
    <row r="11" spans="2:39" ht="26.25">
      <c r="B11" s="287" t="s">
        <v>214</v>
      </c>
      <c r="C11" s="289"/>
      <c r="D11" s="289" t="s">
        <v>220</v>
      </c>
      <c r="G11" s="306">
        <f>G6+G7+G9+G10</f>
        <v>0</v>
      </c>
      <c r="I11" s="303" t="s">
        <v>222</v>
      </c>
      <c r="J11" s="295"/>
      <c r="L11" s="287" t="s">
        <v>214</v>
      </c>
      <c r="N11" s="289" t="s">
        <v>220</v>
      </c>
      <c r="Q11" s="306" t="e">
        <f>Q6+Q7+Q9+Q10</f>
        <v>#DIV/0!</v>
      </c>
      <c r="S11" s="303" t="s">
        <v>222</v>
      </c>
      <c r="T11" s="295"/>
      <c r="V11" s="287" t="s">
        <v>214</v>
      </c>
      <c r="X11" s="289" t="s">
        <v>220</v>
      </c>
      <c r="AA11" s="306" t="e">
        <f>AA6+AA7+AA9+AA10</f>
        <v>#DIV/0!</v>
      </c>
      <c r="AC11" s="303" t="s">
        <v>222</v>
      </c>
      <c r="AD11" s="295"/>
      <c r="AF11" s="287" t="s">
        <v>214</v>
      </c>
      <c r="AH11" s="289" t="s">
        <v>220</v>
      </c>
      <c r="AK11" s="306" t="e">
        <f>AK6+AK7+AK9+AK10</f>
        <v>#DIV/0!</v>
      </c>
      <c r="AM11" s="303" t="s">
        <v>222</v>
      </c>
    </row>
    <row r="12" spans="2:39">
      <c r="B12" s="289" t="s">
        <v>18</v>
      </c>
      <c r="C12" s="289" t="s">
        <v>189</v>
      </c>
      <c r="D12" s="306">
        <f>DADOS_INVENTÁRIO!E54</f>
        <v>0</v>
      </c>
      <c r="G12" s="306"/>
      <c r="H12" s="306">
        <f>D12*DADOS_INVENTÁRIO!E204</f>
        <v>0</v>
      </c>
      <c r="I12" s="362">
        <f>SUM(H12:H14)</f>
        <v>0</v>
      </c>
      <c r="J12" s="295"/>
      <c r="L12" s="289" t="s">
        <v>18</v>
      </c>
      <c r="M12" s="289" t="s">
        <v>189</v>
      </c>
      <c r="N12" s="306" t="e">
        <f>D12*$P$2</f>
        <v>#DIV/0!</v>
      </c>
      <c r="Q12" s="306"/>
      <c r="R12" s="306" t="e">
        <f>N12*DADOS_INVENTÁRIO!E204</f>
        <v>#DIV/0!</v>
      </c>
      <c r="S12" s="362" t="e">
        <f>SUM(R12:R14)</f>
        <v>#DIV/0!</v>
      </c>
      <c r="T12" s="295"/>
      <c r="V12" s="289" t="s">
        <v>18</v>
      </c>
      <c r="W12" s="289" t="s">
        <v>189</v>
      </c>
      <c r="X12" s="306" t="e">
        <f>N12</f>
        <v>#DIV/0!</v>
      </c>
      <c r="AA12" s="306"/>
      <c r="AB12" s="306" t="e">
        <f>X12*DADOS_INVENTÁRIO!E204</f>
        <v>#DIV/0!</v>
      </c>
      <c r="AC12" s="362" t="e">
        <f>SUM(AB12:AB14)</f>
        <v>#DIV/0!</v>
      </c>
      <c r="AD12" s="295"/>
      <c r="AF12" s="289" t="s">
        <v>18</v>
      </c>
      <c r="AG12" s="289" t="s">
        <v>189</v>
      </c>
      <c r="AH12" s="306" t="e">
        <f>X12*(1-$AJ$3)</f>
        <v>#DIV/0!</v>
      </c>
      <c r="AK12" s="306"/>
      <c r="AL12" s="306" t="e">
        <f>AH12*DADOS_INVENTÁRIO!E204</f>
        <v>#DIV/0!</v>
      </c>
      <c r="AM12" s="362" t="e">
        <f>SUM(AL12:AL14)</f>
        <v>#DIV/0!</v>
      </c>
    </row>
    <row r="13" spans="2:39">
      <c r="B13" s="289" t="s">
        <v>19</v>
      </c>
      <c r="C13" s="289" t="s">
        <v>213</v>
      </c>
      <c r="D13" s="306">
        <f>DADOS_INVENTÁRIO!E55</f>
        <v>0</v>
      </c>
      <c r="E13" s="299">
        <v>9.1188229500000002</v>
      </c>
      <c r="F13" s="289" t="s">
        <v>236</v>
      </c>
      <c r="G13" s="306"/>
      <c r="H13" s="306">
        <f>D13*DADOS_INVENTÁRIO!E205</f>
        <v>0</v>
      </c>
      <c r="I13" s="363"/>
      <c r="J13" s="295"/>
      <c r="L13" s="289" t="s">
        <v>19</v>
      </c>
      <c r="M13" s="289" t="s">
        <v>213</v>
      </c>
      <c r="N13" s="306" t="e">
        <f t="shared" ref="N13:N14" si="10">D13*$P$2</f>
        <v>#DIV/0!</v>
      </c>
      <c r="O13" s="299">
        <v>9.1188229500000002</v>
      </c>
      <c r="P13" s="289" t="s">
        <v>236</v>
      </c>
      <c r="Q13" s="306"/>
      <c r="R13" s="306" t="e">
        <f>N13*DADOS_INVENTÁRIO!E205</f>
        <v>#DIV/0!</v>
      </c>
      <c r="S13" s="363"/>
      <c r="T13" s="295"/>
      <c r="V13" s="289" t="s">
        <v>19</v>
      </c>
      <c r="W13" s="289" t="s">
        <v>213</v>
      </c>
      <c r="X13" s="306" t="e">
        <f>N13</f>
        <v>#DIV/0!</v>
      </c>
      <c r="Y13" s="299">
        <v>9.1188229500000002</v>
      </c>
      <c r="Z13" s="289" t="s">
        <v>236</v>
      </c>
      <c r="AA13" s="306"/>
      <c r="AB13" s="306" t="e">
        <f>X13*DADOS_INVENTÁRIO!E205</f>
        <v>#DIV/0!</v>
      </c>
      <c r="AC13" s="363"/>
      <c r="AD13" s="295"/>
      <c r="AF13" s="289" t="s">
        <v>19</v>
      </c>
      <c r="AG13" s="289" t="s">
        <v>213</v>
      </c>
      <c r="AH13" s="306" t="e">
        <f t="shared" ref="AH13" si="11">X13*(1-$AJ$3)</f>
        <v>#DIV/0!</v>
      </c>
      <c r="AI13" s="299">
        <v>9.1188229500000002</v>
      </c>
      <c r="AJ13" s="289" t="s">
        <v>236</v>
      </c>
      <c r="AK13" s="306"/>
      <c r="AL13" s="306" t="e">
        <f>AH13*DADOS_INVENTÁRIO!E205</f>
        <v>#DIV/0!</v>
      </c>
      <c r="AM13" s="363"/>
    </row>
    <row r="14" spans="2:39">
      <c r="B14" s="308" t="s">
        <v>21</v>
      </c>
      <c r="C14" s="308" t="s">
        <v>221</v>
      </c>
      <c r="D14" s="309">
        <f>DADOS_INVENTÁRIO!E56</f>
        <v>0</v>
      </c>
      <c r="E14" s="308"/>
      <c r="F14" s="308"/>
      <c r="G14" s="308"/>
      <c r="H14" s="309">
        <f>D14*DADOS_INVENTÁRIO!E206</f>
        <v>0</v>
      </c>
      <c r="I14" s="363"/>
      <c r="J14" s="295"/>
      <c r="L14" s="308" t="s">
        <v>21</v>
      </c>
      <c r="M14" s="308" t="s">
        <v>221</v>
      </c>
      <c r="N14" s="309" t="e">
        <f t="shared" si="10"/>
        <v>#DIV/0!</v>
      </c>
      <c r="O14" s="308"/>
      <c r="P14" s="308"/>
      <c r="Q14" s="308"/>
      <c r="R14" s="309" t="e">
        <f>N14*PROJEÇÕES!E23</f>
        <v>#DIV/0!</v>
      </c>
      <c r="S14" s="363"/>
      <c r="T14" s="295"/>
      <c r="V14" s="308" t="s">
        <v>21</v>
      </c>
      <c r="W14" s="308" t="s">
        <v>221</v>
      </c>
      <c r="X14" s="309" t="e">
        <f>N14</f>
        <v>#DIV/0!</v>
      </c>
      <c r="Y14" s="308"/>
      <c r="Z14" s="308"/>
      <c r="AA14" s="308"/>
      <c r="AB14" s="309" t="e">
        <f>X14*X41</f>
        <v>#DIV/0!</v>
      </c>
      <c r="AC14" s="363"/>
      <c r="AD14" s="295"/>
      <c r="AF14" s="308" t="s">
        <v>21</v>
      </c>
      <c r="AG14" s="308" t="s">
        <v>221</v>
      </c>
      <c r="AH14" s="309" t="e">
        <f>X14+X12*AJ3*AI10+X13*AJ3*AI13</f>
        <v>#DIV/0!</v>
      </c>
      <c r="AI14" s="308"/>
      <c r="AJ14" s="308"/>
      <c r="AK14" s="308"/>
      <c r="AL14" s="309" t="e">
        <f>AH14*X41</f>
        <v>#DIV/0!</v>
      </c>
      <c r="AM14" s="363"/>
    </row>
    <row r="15" spans="2:39">
      <c r="B15" s="289"/>
      <c r="C15" s="289"/>
      <c r="D15" s="289"/>
      <c r="E15" s="289" t="str">
        <f>IF(DADOS_INVENTÁRIO!D68="SIM",IF(DADOS_INVENTÁRIO!D69="SIM",IF(SUM('Folha de Apoio'!E6:E9)=0,"ERRO",""),""),"")</f>
        <v/>
      </c>
      <c r="F15" s="289" t="str">
        <f>IF(DADOS_INVENTÁRIO!D91="SIM",IF(DADOS_INVENTÁRIO!D92="SIM",IF(SUM(DADOS_INVENTÁRIO!E95:E97)&gt;0,"","NOTA: preencha os consumos da lavandaria externa"),""),"")</f>
        <v/>
      </c>
      <c r="G15" s="306"/>
      <c r="J15" s="295"/>
      <c r="Q15" s="306"/>
      <c r="T15" s="295"/>
      <c r="AA15" s="306"/>
      <c r="AD15" s="295"/>
      <c r="AK15" s="306"/>
    </row>
    <row r="16" spans="2:39">
      <c r="B16" s="289"/>
      <c r="C16" s="289"/>
      <c r="D16" s="289"/>
      <c r="F16" s="289" t="str">
        <f>IF(DADOS_INVENTÁRIO!D91="SIM",IF(DADOS_INVENTÁRIO!D92="NÃO",IF(DADOS_INVENTÁRIO!E98="","NOTA: preencha o volume de roupa lavada anualmente",""),""),"")</f>
        <v/>
      </c>
      <c r="J16" s="295"/>
      <c r="T16" s="295"/>
      <c r="AD16" s="295"/>
    </row>
    <row r="17" spans="2:39">
      <c r="B17" s="289"/>
      <c r="C17" s="289"/>
      <c r="D17" s="289"/>
      <c r="F17" s="289" t="str">
        <f>IF(DADOS_INVENTÁRIO!D91="SIM",IF(DADOS_INVENTÁRIO!D92="","NOTA: Prencha LAVANDARIA",""),"")</f>
        <v/>
      </c>
      <c r="J17" s="295"/>
      <c r="T17" s="295"/>
      <c r="AD17" s="295"/>
    </row>
    <row r="18" spans="2:39">
      <c r="B18" s="289"/>
      <c r="C18" s="289"/>
      <c r="D18" s="289"/>
      <c r="J18" s="295"/>
      <c r="T18" s="295"/>
      <c r="AD18" s="295"/>
    </row>
    <row r="19" spans="2:39">
      <c r="B19" s="365" t="s">
        <v>280</v>
      </c>
      <c r="C19" s="365"/>
      <c r="D19" s="289"/>
      <c r="E19" s="365" t="s">
        <v>176</v>
      </c>
      <c r="F19" s="365"/>
      <c r="G19" s="365"/>
      <c r="H19" s="365"/>
      <c r="J19" s="295"/>
      <c r="L19" s="365" t="s">
        <v>280</v>
      </c>
      <c r="M19" s="365"/>
      <c r="O19" s="365" t="s">
        <v>176</v>
      </c>
      <c r="P19" s="365"/>
      <c r="Q19" s="365"/>
      <c r="R19" s="365"/>
      <c r="T19" s="295"/>
      <c r="V19" s="365" t="s">
        <v>280</v>
      </c>
      <c r="W19" s="365"/>
      <c r="Y19" s="365" t="s">
        <v>176</v>
      </c>
      <c r="Z19" s="365"/>
      <c r="AA19" s="365"/>
      <c r="AB19" s="365"/>
      <c r="AD19" s="295"/>
      <c r="AF19" s="365" t="s">
        <v>280</v>
      </c>
      <c r="AG19" s="365"/>
      <c r="AI19" s="365" t="s">
        <v>176</v>
      </c>
      <c r="AJ19" s="365"/>
      <c r="AK19" s="365"/>
      <c r="AL19" s="365"/>
    </row>
    <row r="20" spans="2:39">
      <c r="B20" s="289"/>
      <c r="C20" s="302" t="s">
        <v>5</v>
      </c>
      <c r="D20" s="289"/>
      <c r="J20" s="295"/>
      <c r="M20" s="302" t="s">
        <v>5</v>
      </c>
      <c r="T20" s="295"/>
      <c r="W20" s="302" t="s">
        <v>5</v>
      </c>
      <c r="AD20" s="295"/>
      <c r="AG20" s="302" t="s">
        <v>5</v>
      </c>
    </row>
    <row r="21" spans="2:39">
      <c r="B21" s="289"/>
      <c r="C21" s="289" t="s">
        <v>202</v>
      </c>
      <c r="D21" s="289"/>
      <c r="J21" s="295"/>
      <c r="M21" s="289" t="s">
        <v>202</v>
      </c>
      <c r="T21" s="295"/>
      <c r="W21" s="289" t="s">
        <v>202</v>
      </c>
      <c r="AD21" s="295"/>
      <c r="AG21" s="289" t="s">
        <v>202</v>
      </c>
    </row>
    <row r="22" spans="2:39">
      <c r="B22" s="289"/>
      <c r="C22" s="311">
        <f>DADOS_INVENTÁRIO!E72</f>
        <v>0</v>
      </c>
      <c r="D22" s="289"/>
      <c r="E22" s="287" t="s">
        <v>188</v>
      </c>
      <c r="J22" s="295"/>
      <c r="M22" s="306">
        <f>C22</f>
        <v>0</v>
      </c>
      <c r="O22" s="287" t="s">
        <v>188</v>
      </c>
      <c r="T22" s="295"/>
      <c r="W22" s="306">
        <f>M22</f>
        <v>0</v>
      </c>
      <c r="Y22" s="287" t="s">
        <v>188</v>
      </c>
      <c r="AD22" s="295"/>
      <c r="AG22" s="306">
        <f>W22</f>
        <v>0</v>
      </c>
      <c r="AI22" s="287" t="s">
        <v>188</v>
      </c>
    </row>
    <row r="23" spans="2:39">
      <c r="B23" s="289"/>
      <c r="C23" s="289" t="s">
        <v>203</v>
      </c>
      <c r="D23" s="289"/>
      <c r="E23" s="289" t="s">
        <v>17</v>
      </c>
      <c r="F23" s="289" t="s">
        <v>228</v>
      </c>
      <c r="G23" s="306">
        <f>G6</f>
        <v>0</v>
      </c>
      <c r="H23" s="364">
        <f>SUM(G23:G26)</f>
        <v>0</v>
      </c>
      <c r="J23" s="295"/>
      <c r="M23" s="289" t="s">
        <v>203</v>
      </c>
      <c r="O23" s="289" t="s">
        <v>17</v>
      </c>
      <c r="P23" s="289" t="s">
        <v>228</v>
      </c>
      <c r="Q23" s="306" t="e">
        <f>Q6</f>
        <v>#DIV/0!</v>
      </c>
      <c r="R23" s="364" t="e">
        <f>SUM(Q23:Q26)</f>
        <v>#DIV/0!</v>
      </c>
      <c r="T23" s="295"/>
      <c r="W23" s="289" t="s">
        <v>203</v>
      </c>
      <c r="Y23" s="289" t="s">
        <v>17</v>
      </c>
      <c r="Z23" s="289" t="s">
        <v>228</v>
      </c>
      <c r="AA23" s="306" t="e">
        <f>AA6</f>
        <v>#DIV/0!</v>
      </c>
      <c r="AB23" s="364" t="e">
        <f>SUM(AA23:AA26)</f>
        <v>#DIV/0!</v>
      </c>
      <c r="AD23" s="295"/>
      <c r="AG23" s="289" t="s">
        <v>203</v>
      </c>
      <c r="AI23" s="289" t="s">
        <v>17</v>
      </c>
      <c r="AJ23" s="289" t="s">
        <v>228</v>
      </c>
      <c r="AK23" s="306" t="e">
        <f>AK6</f>
        <v>#DIV/0!</v>
      </c>
      <c r="AL23" s="364" t="e">
        <f>SUM(AK23:AK26)</f>
        <v>#DIV/0!</v>
      </c>
    </row>
    <row r="24" spans="2:39">
      <c r="B24" s="289"/>
      <c r="C24" s="306">
        <f>DADOS_INVENTÁRIO!E33</f>
        <v>0</v>
      </c>
      <c r="D24" s="289"/>
      <c r="E24" s="289" t="s">
        <v>14</v>
      </c>
      <c r="F24" s="289" t="s">
        <v>229</v>
      </c>
      <c r="G24" s="306">
        <f>G7</f>
        <v>0</v>
      </c>
      <c r="H24" s="364"/>
      <c r="J24" s="295"/>
      <c r="M24" s="306">
        <f>C24</f>
        <v>0</v>
      </c>
      <c r="O24" s="289" t="s">
        <v>14</v>
      </c>
      <c r="P24" s="289" t="s">
        <v>229</v>
      </c>
      <c r="Q24" s="306" t="e">
        <f>Q7</f>
        <v>#DIV/0!</v>
      </c>
      <c r="R24" s="364"/>
      <c r="T24" s="295"/>
      <c r="W24" s="306">
        <f>M24</f>
        <v>0</v>
      </c>
      <c r="Y24" s="289" t="s">
        <v>14</v>
      </c>
      <c r="Z24" s="289" t="s">
        <v>229</v>
      </c>
      <c r="AA24" s="306" t="e">
        <f>AA7</f>
        <v>#DIV/0!</v>
      </c>
      <c r="AB24" s="364"/>
      <c r="AD24" s="295"/>
      <c r="AG24" s="306">
        <f>W24</f>
        <v>0</v>
      </c>
      <c r="AI24" s="289" t="s">
        <v>14</v>
      </c>
      <c r="AJ24" s="289" t="s">
        <v>229</v>
      </c>
      <c r="AK24" s="306" t="e">
        <f>AK7</f>
        <v>#DIV/0!</v>
      </c>
      <c r="AL24" s="364"/>
    </row>
    <row r="25" spans="2:39">
      <c r="B25" s="289"/>
      <c r="C25" s="287" t="s">
        <v>204</v>
      </c>
      <c r="D25" s="287"/>
      <c r="E25" s="289" t="s">
        <v>16</v>
      </c>
      <c r="F25" s="289" t="s">
        <v>235</v>
      </c>
      <c r="G25" s="306">
        <f>G8*I25</f>
        <v>0</v>
      </c>
      <c r="H25" s="364"/>
      <c r="I25" s="299">
        <v>9.9634130400000007</v>
      </c>
      <c r="J25" s="295" t="s">
        <v>236</v>
      </c>
      <c r="M25" s="287" t="s">
        <v>204</v>
      </c>
      <c r="N25" s="287"/>
      <c r="O25" s="289" t="s">
        <v>16</v>
      </c>
      <c r="P25" s="289" t="s">
        <v>235</v>
      </c>
      <c r="Q25" s="306" t="e">
        <f>Q8*S25</f>
        <v>#DIV/0!</v>
      </c>
      <c r="R25" s="364"/>
      <c r="S25" s="299">
        <v>9.9634130400000007</v>
      </c>
      <c r="T25" s="295" t="s">
        <v>236</v>
      </c>
      <c r="W25" s="287" t="s">
        <v>204</v>
      </c>
      <c r="X25" s="287"/>
      <c r="Y25" s="289" t="s">
        <v>16</v>
      </c>
      <c r="Z25" s="289" t="s">
        <v>235</v>
      </c>
      <c r="AA25" s="306" t="e">
        <f>AA8*AC25</f>
        <v>#DIV/0!</v>
      </c>
      <c r="AB25" s="364"/>
      <c r="AC25" s="299">
        <v>9.9634130400000007</v>
      </c>
      <c r="AD25" s="295"/>
      <c r="AG25" s="287" t="s">
        <v>204</v>
      </c>
      <c r="AH25" s="287"/>
      <c r="AI25" s="289" t="s">
        <v>16</v>
      </c>
      <c r="AJ25" s="289" t="s">
        <v>235</v>
      </c>
      <c r="AK25" s="306" t="e">
        <f>AK8*AM25</f>
        <v>#DIV/0!</v>
      </c>
      <c r="AL25" s="364"/>
      <c r="AM25" s="299">
        <v>9.9634130400000007</v>
      </c>
    </row>
    <row r="26" spans="2:39" ht="19.7" customHeight="1">
      <c r="B26" s="289"/>
      <c r="C26" s="312" t="e">
        <f>C22/C24</f>
        <v>#DIV/0!</v>
      </c>
      <c r="D26" s="287"/>
      <c r="E26" s="308" t="s">
        <v>15</v>
      </c>
      <c r="F26" s="308" t="s">
        <v>230</v>
      </c>
      <c r="G26" s="309">
        <f>G9</f>
        <v>0</v>
      </c>
      <c r="H26" s="364"/>
      <c r="J26" s="295"/>
      <c r="M26" s="312" t="e">
        <f>M22/M24</f>
        <v>#DIV/0!</v>
      </c>
      <c r="N26" s="287"/>
      <c r="O26" s="308" t="s">
        <v>15</v>
      </c>
      <c r="P26" s="308" t="s">
        <v>230</v>
      </c>
      <c r="Q26" s="309" t="e">
        <f>Q9</f>
        <v>#DIV/0!</v>
      </c>
      <c r="R26" s="364"/>
      <c r="T26" s="295"/>
      <c r="W26" s="312" t="e">
        <f>W22/W24</f>
        <v>#DIV/0!</v>
      </c>
      <c r="X26" s="287"/>
      <c r="Y26" s="308" t="s">
        <v>15</v>
      </c>
      <c r="Z26" s="308" t="s">
        <v>230</v>
      </c>
      <c r="AA26" s="309" t="e">
        <f>AA9</f>
        <v>#DIV/0!</v>
      </c>
      <c r="AB26" s="364"/>
      <c r="AD26" s="295"/>
      <c r="AG26" s="312" t="e">
        <f>AG22/AG24</f>
        <v>#DIV/0!</v>
      </c>
      <c r="AH26" s="287"/>
      <c r="AI26" s="308" t="s">
        <v>15</v>
      </c>
      <c r="AJ26" s="308" t="s">
        <v>230</v>
      </c>
      <c r="AK26" s="309" t="e">
        <f>AK9</f>
        <v>#DIV/0!</v>
      </c>
      <c r="AL26" s="364"/>
    </row>
    <row r="27" spans="2:39">
      <c r="B27" s="289"/>
      <c r="C27" s="289" t="str">
        <f>IF(DADOS_INVENTÁRIO!D68="SIM",IF(DADOS_INVENTÁRIO!D69="NÃO",IF(DADOS_INVENTÁRIO!E72="","ERRO",""),""),"")</f>
        <v/>
      </c>
      <c r="D27" s="289"/>
      <c r="G27" s="306"/>
      <c r="H27" s="299"/>
      <c r="J27" s="295"/>
      <c r="Q27" s="306"/>
      <c r="R27" s="299"/>
      <c r="T27" s="295"/>
      <c r="AA27" s="306"/>
      <c r="AB27" s="299"/>
      <c r="AD27" s="295"/>
      <c r="AK27" s="306"/>
      <c r="AL27" s="299"/>
    </row>
    <row r="28" spans="2:39">
      <c r="B28" s="289"/>
      <c r="C28" s="289"/>
      <c r="D28" s="289"/>
      <c r="E28" s="287" t="s">
        <v>214</v>
      </c>
      <c r="G28" s="306"/>
      <c r="H28" s="299"/>
      <c r="J28" s="295"/>
      <c r="O28" s="287" t="s">
        <v>214</v>
      </c>
      <c r="Q28" s="306"/>
      <c r="R28" s="299"/>
      <c r="T28" s="295"/>
      <c r="Y28" s="287" t="s">
        <v>214</v>
      </c>
      <c r="AA28" s="306"/>
      <c r="AB28" s="299"/>
      <c r="AD28" s="295"/>
      <c r="AI28" s="287" t="s">
        <v>214</v>
      </c>
      <c r="AK28" s="306"/>
      <c r="AL28" s="299"/>
    </row>
    <row r="29" spans="2:39">
      <c r="B29" s="312" t="e">
        <f>C30/C34</f>
        <v>#DIV/0!</v>
      </c>
      <c r="C29" s="289" t="s">
        <v>232</v>
      </c>
      <c r="D29" s="289"/>
      <c r="E29" s="289" t="s">
        <v>18</v>
      </c>
      <c r="F29" s="289" t="s">
        <v>235</v>
      </c>
      <c r="G29" s="306">
        <f>D12*I29</f>
        <v>0</v>
      </c>
      <c r="H29" s="364">
        <f>SUM(G29:G31)</f>
        <v>0</v>
      </c>
      <c r="I29" s="299">
        <f>E10</f>
        <v>9.9634130400000007</v>
      </c>
      <c r="J29" s="295" t="s">
        <v>236</v>
      </c>
      <c r="L29" s="312" t="e">
        <f>M30/M34</f>
        <v>#DIV/0!</v>
      </c>
      <c r="M29" s="289" t="s">
        <v>232</v>
      </c>
      <c r="O29" s="289" t="s">
        <v>18</v>
      </c>
      <c r="P29" s="289" t="s">
        <v>235</v>
      </c>
      <c r="Q29" s="306" t="e">
        <f>N12*S29</f>
        <v>#DIV/0!</v>
      </c>
      <c r="R29" s="364" t="e">
        <f>SUM(Q29:Q31)</f>
        <v>#DIV/0!</v>
      </c>
      <c r="S29" s="299">
        <v>9.9634130400000007</v>
      </c>
      <c r="T29" s="295" t="s">
        <v>236</v>
      </c>
      <c r="V29" s="312" t="e">
        <f>W30/W34</f>
        <v>#DIV/0!</v>
      </c>
      <c r="W29" s="289" t="s">
        <v>232</v>
      </c>
      <c r="Y29" s="289" t="s">
        <v>18</v>
      </c>
      <c r="Z29" s="289" t="s">
        <v>235</v>
      </c>
      <c r="AA29" s="306" t="e">
        <f>X12*AC29</f>
        <v>#DIV/0!</v>
      </c>
      <c r="AB29" s="364" t="e">
        <f>SUM(AA29:AA31)</f>
        <v>#DIV/0!</v>
      </c>
      <c r="AC29" s="299">
        <v>9.9634130400000007</v>
      </c>
      <c r="AD29" s="295"/>
      <c r="AF29" s="312" t="e">
        <f>AG30/AG34</f>
        <v>#DIV/0!</v>
      </c>
      <c r="AG29" s="289" t="s">
        <v>232</v>
      </c>
      <c r="AI29" s="289" t="s">
        <v>18</v>
      </c>
      <c r="AJ29" s="289" t="s">
        <v>235</v>
      </c>
      <c r="AK29" s="306" t="e">
        <f>AH12*AM29</f>
        <v>#DIV/0!</v>
      </c>
      <c r="AL29" s="364" t="e">
        <f>SUM(AK29:AK31)</f>
        <v>#DIV/0!</v>
      </c>
      <c r="AM29" s="299">
        <v>9.9634130400000007</v>
      </c>
    </row>
    <row r="30" spans="2:39">
      <c r="B30" s="313"/>
      <c r="C30" s="306">
        <f>DADOS_INVENTÁRIO!E31</f>
        <v>0</v>
      </c>
      <c r="D30" s="289" t="s">
        <v>5</v>
      </c>
      <c r="E30" s="289" t="s">
        <v>19</v>
      </c>
      <c r="F30" s="289" t="s">
        <v>243</v>
      </c>
      <c r="G30" s="306">
        <f>D13*I30</f>
        <v>0</v>
      </c>
      <c r="H30" s="364"/>
      <c r="I30" s="299">
        <f>E13</f>
        <v>9.1188229500000002</v>
      </c>
      <c r="J30" s="295" t="s">
        <v>236</v>
      </c>
      <c r="L30" s="313"/>
      <c r="M30" s="306">
        <f>C30</f>
        <v>0</v>
      </c>
      <c r="N30" s="289" t="s">
        <v>5</v>
      </c>
      <c r="O30" s="289" t="s">
        <v>19</v>
      </c>
      <c r="P30" s="289" t="s">
        <v>243</v>
      </c>
      <c r="Q30" s="306" t="e">
        <f>N13*S30</f>
        <v>#DIV/0!</v>
      </c>
      <c r="R30" s="364"/>
      <c r="S30" s="299">
        <f>O13</f>
        <v>9.1188229500000002</v>
      </c>
      <c r="T30" s="295" t="s">
        <v>236</v>
      </c>
      <c r="V30" s="313"/>
      <c r="W30" s="306">
        <f>M30</f>
        <v>0</v>
      </c>
      <c r="X30" s="289" t="s">
        <v>5</v>
      </c>
      <c r="Y30" s="289" t="s">
        <v>19</v>
      </c>
      <c r="Z30" s="289" t="s">
        <v>243</v>
      </c>
      <c r="AA30" s="306" t="e">
        <f>X13*AC30</f>
        <v>#DIV/0!</v>
      </c>
      <c r="AB30" s="364"/>
      <c r="AC30" s="299">
        <f>Y13</f>
        <v>9.1188229500000002</v>
      </c>
      <c r="AD30" s="295"/>
      <c r="AF30" s="313"/>
      <c r="AG30" s="306">
        <f>W30</f>
        <v>0</v>
      </c>
      <c r="AH30" s="289" t="s">
        <v>5</v>
      </c>
      <c r="AI30" s="289" t="s">
        <v>19</v>
      </c>
      <c r="AJ30" s="289" t="s">
        <v>243</v>
      </c>
      <c r="AK30" s="306" t="e">
        <f>AH13*AM30</f>
        <v>#DIV/0!</v>
      </c>
      <c r="AL30" s="364"/>
      <c r="AM30" s="299">
        <f>AI13</f>
        <v>9.1188229500000002</v>
      </c>
    </row>
    <row r="31" spans="2:39">
      <c r="B31" s="312" t="e">
        <f>C32/C34</f>
        <v>#DIV/0!</v>
      </c>
      <c r="C31" s="289" t="s">
        <v>233</v>
      </c>
      <c r="D31" s="289"/>
      <c r="E31" s="308" t="s">
        <v>21</v>
      </c>
      <c r="F31" s="308" t="s">
        <v>221</v>
      </c>
      <c r="G31" s="309">
        <f>D14</f>
        <v>0</v>
      </c>
      <c r="H31" s="364"/>
      <c r="J31" s="295"/>
      <c r="L31" s="312" t="e">
        <f>M32/M34</f>
        <v>#DIV/0!</v>
      </c>
      <c r="M31" s="289" t="s">
        <v>233</v>
      </c>
      <c r="O31" s="308" t="s">
        <v>21</v>
      </c>
      <c r="P31" s="308" t="s">
        <v>221</v>
      </c>
      <c r="Q31" s="309" t="e">
        <f>N14</f>
        <v>#DIV/0!</v>
      </c>
      <c r="R31" s="364"/>
      <c r="T31" s="295"/>
      <c r="V31" s="312" t="e">
        <f>W32/W34</f>
        <v>#DIV/0!</v>
      </c>
      <c r="W31" s="289" t="s">
        <v>233</v>
      </c>
      <c r="Y31" s="308" t="s">
        <v>21</v>
      </c>
      <c r="Z31" s="308" t="s">
        <v>221</v>
      </c>
      <c r="AA31" s="309" t="e">
        <f>X14</f>
        <v>#DIV/0!</v>
      </c>
      <c r="AB31" s="364"/>
      <c r="AD31" s="295"/>
      <c r="AF31" s="312" t="e">
        <f>AG32/AG34</f>
        <v>#DIV/0!</v>
      </c>
      <c r="AG31" s="289" t="s">
        <v>233</v>
      </c>
      <c r="AI31" s="308" t="s">
        <v>21</v>
      </c>
      <c r="AJ31" s="308" t="s">
        <v>221</v>
      </c>
      <c r="AK31" s="309" t="e">
        <f>AH14</f>
        <v>#DIV/0!</v>
      </c>
      <c r="AL31" s="364"/>
    </row>
    <row r="32" spans="2:39">
      <c r="B32" s="289"/>
      <c r="C32" s="306">
        <f>DADOS_INVENTÁRIO!E32</f>
        <v>0</v>
      </c>
      <c r="D32" s="289" t="s">
        <v>5</v>
      </c>
      <c r="F32" s="289" t="e">
        <f>H29/H23</f>
        <v>#DIV/0!</v>
      </c>
      <c r="J32" s="295"/>
      <c r="M32" s="306">
        <f>C32</f>
        <v>0</v>
      </c>
      <c r="N32" s="289" t="s">
        <v>5</v>
      </c>
      <c r="T32" s="295"/>
      <c r="W32" s="306">
        <f>M32</f>
        <v>0</v>
      </c>
      <c r="X32" s="289" t="s">
        <v>5</v>
      </c>
      <c r="AD32" s="295"/>
      <c r="AG32" s="306">
        <f>W32</f>
        <v>0</v>
      </c>
      <c r="AH32" s="289" t="s">
        <v>5</v>
      </c>
    </row>
    <row r="33" spans="2:39">
      <c r="B33" s="289"/>
      <c r="C33" s="289" t="s">
        <v>234</v>
      </c>
      <c r="D33" s="289"/>
      <c r="G33" s="287" t="s">
        <v>244</v>
      </c>
      <c r="H33" s="314">
        <f>H23+H29</f>
        <v>0</v>
      </c>
      <c r="J33" s="295"/>
      <c r="M33" s="289" t="s">
        <v>234</v>
      </c>
      <c r="Q33" s="287" t="s">
        <v>244</v>
      </c>
      <c r="R33" s="314" t="e">
        <f>R23+R29</f>
        <v>#DIV/0!</v>
      </c>
      <c r="T33" s="295"/>
      <c r="W33" s="289" t="s">
        <v>234</v>
      </c>
      <c r="AA33" s="287" t="s">
        <v>244</v>
      </c>
      <c r="AB33" s="314" t="e">
        <f>AB23+AB29</f>
        <v>#DIV/0!</v>
      </c>
      <c r="AD33" s="295"/>
      <c r="AG33" s="289" t="s">
        <v>234</v>
      </c>
      <c r="AK33" s="287" t="s">
        <v>244</v>
      </c>
      <c r="AL33" s="314" t="e">
        <f>AL23+AL29</f>
        <v>#DIV/0!</v>
      </c>
    </row>
    <row r="34" spans="2:39">
      <c r="B34" s="289"/>
      <c r="C34" s="311">
        <f>C30+C32</f>
        <v>0</v>
      </c>
      <c r="D34" s="289" t="s">
        <v>5</v>
      </c>
      <c r="G34" s="287" t="s">
        <v>245</v>
      </c>
      <c r="H34" s="314" t="e">
        <f>DADOS_INVENTÁRIO!E62*(1-C26)</f>
        <v>#DIV/0!</v>
      </c>
      <c r="J34" s="295"/>
      <c r="M34" s="311">
        <f>M30+M32</f>
        <v>0</v>
      </c>
      <c r="N34" s="289" t="s">
        <v>5</v>
      </c>
      <c r="Q34" s="287" t="s">
        <v>245</v>
      </c>
      <c r="R34" s="314" t="e">
        <f>H34*P2</f>
        <v>#DIV/0!</v>
      </c>
      <c r="T34" s="295"/>
      <c r="W34" s="311">
        <f>W30+W32</f>
        <v>0</v>
      </c>
      <c r="X34" s="289" t="s">
        <v>5</v>
      </c>
      <c r="AA34" s="287" t="s">
        <v>245</v>
      </c>
      <c r="AB34" s="314" t="e">
        <f>R34</f>
        <v>#DIV/0!</v>
      </c>
      <c r="AD34" s="295"/>
      <c r="AG34" s="311">
        <f>AG30+AG32</f>
        <v>0</v>
      </c>
      <c r="AH34" s="289" t="s">
        <v>5</v>
      </c>
      <c r="AK34" s="287" t="s">
        <v>245</v>
      </c>
      <c r="AL34" s="314" t="e">
        <f>AB34</f>
        <v>#DIV/0!</v>
      </c>
    </row>
    <row r="35" spans="2:39">
      <c r="B35" s="289"/>
      <c r="C35" s="289"/>
      <c r="D35" s="289"/>
      <c r="G35" s="287" t="s">
        <v>205</v>
      </c>
      <c r="H35" s="314" t="e">
        <f>H33+H34</f>
        <v>#DIV/0!</v>
      </c>
      <c r="J35" s="295"/>
      <c r="Q35" s="287" t="s">
        <v>205</v>
      </c>
      <c r="R35" s="314" t="e">
        <f>R33+R34</f>
        <v>#DIV/0!</v>
      </c>
      <c r="S35" s="315" t="e">
        <f>R35/H35</f>
        <v>#DIV/0!</v>
      </c>
      <c r="T35" s="295"/>
      <c r="AA35" s="287" t="s">
        <v>205</v>
      </c>
      <c r="AB35" s="314" t="e">
        <f>AB33+AB34</f>
        <v>#DIV/0!</v>
      </c>
      <c r="AC35" s="315" t="e">
        <f>AB35/R35</f>
        <v>#DIV/0!</v>
      </c>
      <c r="AD35" s="295"/>
      <c r="AK35" s="287" t="s">
        <v>205</v>
      </c>
      <c r="AL35" s="314" t="e">
        <f>AL33+AL34</f>
        <v>#DIV/0!</v>
      </c>
      <c r="AM35" s="315" t="e">
        <f>AL35/AB35</f>
        <v>#DIV/0!</v>
      </c>
    </row>
    <row r="36" spans="2:39">
      <c r="B36" s="289"/>
      <c r="C36" s="289"/>
      <c r="D36" s="289"/>
      <c r="G36" s="287"/>
      <c r="H36" s="287"/>
      <c r="J36" s="295"/>
      <c r="Q36" s="287"/>
      <c r="R36" s="287"/>
      <c r="T36" s="295"/>
      <c r="AA36" s="287"/>
      <c r="AB36" s="287"/>
      <c r="AD36" s="295"/>
      <c r="AK36" s="287"/>
      <c r="AL36" s="287"/>
    </row>
    <row r="37" spans="2:39">
      <c r="B37" s="289"/>
      <c r="C37" s="289"/>
      <c r="D37" s="289"/>
      <c r="G37" s="287" t="s">
        <v>246</v>
      </c>
      <c r="H37" s="314" t="e">
        <f>(DADOS_INVENTÁRIO!E61+DADOS_INVENTÁRIO!E62)*(1-C26)</f>
        <v>#DIV/0!</v>
      </c>
      <c r="J37" s="295"/>
      <c r="Q37" s="287" t="s">
        <v>246</v>
      </c>
      <c r="R37" s="314" t="e">
        <f>H37</f>
        <v>#DIV/0!</v>
      </c>
      <c r="T37" s="295"/>
      <c r="AA37" s="287" t="s">
        <v>246</v>
      </c>
      <c r="AB37" s="314" t="e">
        <f>AB34+(X6-Y6)*Z3</f>
        <v>#DIV/0!</v>
      </c>
      <c r="AD37" s="295"/>
      <c r="AK37" s="287" t="s">
        <v>246</v>
      </c>
      <c r="AL37" s="314" t="e">
        <f>AL34+(AH6-AI6)*Z3</f>
        <v>#DIV/0!</v>
      </c>
    </row>
    <row r="38" spans="2:39">
      <c r="B38" s="289"/>
      <c r="C38" s="289"/>
      <c r="D38" s="289"/>
      <c r="G38" s="287"/>
      <c r="H38" s="316" t="e">
        <f>H37/(H35)</f>
        <v>#DIV/0!</v>
      </c>
      <c r="J38" s="295"/>
      <c r="Q38" s="287"/>
      <c r="R38" s="312" t="e">
        <f>R37/R35</f>
        <v>#DIV/0!</v>
      </c>
      <c r="T38" s="295"/>
      <c r="AA38" s="287"/>
      <c r="AB38" s="312" t="e">
        <f>AB37/AB35</f>
        <v>#DIV/0!</v>
      </c>
      <c r="AD38" s="295"/>
      <c r="AK38" s="287"/>
      <c r="AL38" s="312" t="e">
        <f>AL37/AL35</f>
        <v>#DIV/0!</v>
      </c>
    </row>
    <row r="39" spans="2:39">
      <c r="B39" s="289"/>
      <c r="C39" s="289"/>
      <c r="D39" s="289"/>
      <c r="H39" s="313"/>
      <c r="J39" s="295"/>
      <c r="T39" s="295"/>
      <c r="AD39" s="295"/>
    </row>
    <row r="40" spans="2:39">
      <c r="D40" s="289"/>
      <c r="H40" s="306"/>
      <c r="J40" s="295"/>
      <c r="T40" s="295"/>
      <c r="W40" s="289" t="s">
        <v>291</v>
      </c>
      <c r="X40" s="317">
        <f>PROJEÇÕES!E40</f>
        <v>0.10610799999999998</v>
      </c>
      <c r="Y40" s="289" t="s">
        <v>292</v>
      </c>
      <c r="AD40" s="295"/>
    </row>
    <row r="41" spans="2:39">
      <c r="C41" s="318" t="s">
        <v>279</v>
      </c>
      <c r="D41" s="289"/>
      <c r="F41" s="291" t="s">
        <v>212</v>
      </c>
      <c r="G41" s="294" t="s">
        <v>239</v>
      </c>
      <c r="J41" s="295"/>
      <c r="T41" s="295"/>
      <c r="W41" s="289" t="s">
        <v>293</v>
      </c>
      <c r="X41" s="317">
        <f>PROJEÇÕES!E41</f>
        <v>0.106</v>
      </c>
      <c r="Y41" s="289" t="s">
        <v>292</v>
      </c>
      <c r="AD41" s="295"/>
    </row>
    <row r="42" spans="2:39">
      <c r="E42" s="287" t="s">
        <v>223</v>
      </c>
      <c r="F42" s="319">
        <f>I6*0.01</f>
        <v>0</v>
      </c>
      <c r="G42" s="362">
        <f>IF(DADOS_INVENTÁRIO!D103="",0,IF(DADOS_INVENTÁRIO!D103="NÃO",0,IF(DADOS_INVENTÁRIO!D106="SIM",'Folha de Apoio'!F43,IF('Folha de Apoio'!F42&gt;F44,F42,F44))))</f>
        <v>0</v>
      </c>
      <c r="J42" s="295"/>
      <c r="T42" s="295"/>
      <c r="AD42" s="295"/>
    </row>
    <row r="43" spans="2:39">
      <c r="D43" s="290" t="s">
        <v>242</v>
      </c>
      <c r="E43" s="287" t="s">
        <v>314</v>
      </c>
      <c r="F43" s="287">
        <f>SUM(F46:F49)</f>
        <v>0</v>
      </c>
      <c r="G43" s="362"/>
      <c r="I43" s="291"/>
      <c r="J43" s="292"/>
      <c r="T43" s="292"/>
      <c r="W43" s="289" t="s">
        <v>294</v>
      </c>
      <c r="X43" s="320">
        <f>X40*(1-Z3)</f>
        <v>0.10610799999999998</v>
      </c>
      <c r="AD43" s="292"/>
    </row>
    <row r="44" spans="2:39">
      <c r="D44" s="290"/>
      <c r="E44" s="287" t="s">
        <v>315</v>
      </c>
      <c r="F44" s="287">
        <f>+SUM(F51:F132)</f>
        <v>0</v>
      </c>
      <c r="G44" s="321"/>
      <c r="H44" s="291" t="str">
        <f>IF(DADOS_INVENTÁRIO!D103="","",IF(DADOS_INVENTÁRIO!D103="NÃO","",IF(DADOS_INVENTÁRIO!D106="SIM",IF(F43=0,"ERRO",""),"")))</f>
        <v/>
      </c>
      <c r="I44" s="291"/>
      <c r="J44" s="292"/>
      <c r="T44" s="292"/>
      <c r="X44" s="320"/>
      <c r="AD44" s="292"/>
    </row>
    <row r="45" spans="2:39">
      <c r="C45" s="293" t="s">
        <v>210</v>
      </c>
      <c r="D45" s="293" t="s">
        <v>201</v>
      </c>
      <c r="E45" s="294" t="s">
        <v>211</v>
      </c>
      <c r="F45" s="294" t="s">
        <v>212</v>
      </c>
      <c r="J45" s="295"/>
      <c r="T45" s="295"/>
      <c r="AD45" s="295"/>
    </row>
    <row r="46" spans="2:39">
      <c r="C46" s="296" t="s">
        <v>190</v>
      </c>
      <c r="D46" s="288">
        <f>DADOS_INVENTÁRIO!E109</f>
        <v>0</v>
      </c>
      <c r="E46" s="289">
        <v>1810</v>
      </c>
      <c r="F46" s="289">
        <f>D46*E46</f>
        <v>0</v>
      </c>
      <c r="J46" s="295"/>
      <c r="T46" s="295"/>
      <c r="AD46" s="295"/>
    </row>
    <row r="47" spans="2:39">
      <c r="C47" s="296" t="s">
        <v>70</v>
      </c>
      <c r="D47" s="288">
        <f>DADOS_INVENTÁRIO!E110</f>
        <v>0</v>
      </c>
      <c r="E47" s="289">
        <v>1430</v>
      </c>
      <c r="F47" s="289">
        <f t="shared" ref="F47:F110" si="12">D47*E47</f>
        <v>0</v>
      </c>
      <c r="J47" s="295"/>
      <c r="T47" s="295"/>
      <c r="AD47" s="295"/>
    </row>
    <row r="48" spans="2:39">
      <c r="C48" s="296" t="s">
        <v>71</v>
      </c>
      <c r="D48" s="288">
        <f>DADOS_INVENTÁRIO!E111</f>
        <v>0</v>
      </c>
      <c r="E48" s="289">
        <v>3922</v>
      </c>
      <c r="F48" s="289">
        <f t="shared" si="12"/>
        <v>0</v>
      </c>
      <c r="J48" s="295"/>
      <c r="T48" s="295"/>
      <c r="AD48" s="295"/>
    </row>
    <row r="49" spans="3:30">
      <c r="C49" s="296" t="s">
        <v>72</v>
      </c>
      <c r="D49" s="288">
        <f>DADOS_INVENTÁRIO!E112</f>
        <v>0</v>
      </c>
      <c r="E49" s="289">
        <v>2088</v>
      </c>
      <c r="F49" s="289">
        <f t="shared" si="12"/>
        <v>0</v>
      </c>
      <c r="J49" s="295"/>
      <c r="T49" s="295"/>
      <c r="AD49" s="295"/>
    </row>
    <row r="50" spans="3:30">
      <c r="C50" s="296"/>
      <c r="J50" s="295"/>
      <c r="T50" s="295"/>
      <c r="AD50" s="295"/>
    </row>
    <row r="51" spans="3:30">
      <c r="C51" s="296" t="s">
        <v>206</v>
      </c>
      <c r="D51" s="288">
        <f>DADOS_INVENTÁRIO!E114</f>
        <v>0</v>
      </c>
      <c r="E51" s="289">
        <v>25</v>
      </c>
      <c r="F51" s="289">
        <f t="shared" si="12"/>
        <v>0</v>
      </c>
      <c r="J51" s="295"/>
      <c r="T51" s="295"/>
      <c r="AD51" s="295"/>
    </row>
    <row r="52" spans="3:30">
      <c r="C52" s="296" t="s">
        <v>207</v>
      </c>
      <c r="D52" s="288">
        <f>DADOS_INVENTÁRIO!E115</f>
        <v>0</v>
      </c>
      <c r="E52" s="289">
        <v>298</v>
      </c>
      <c r="F52" s="289">
        <f t="shared" si="12"/>
        <v>0</v>
      </c>
      <c r="J52" s="295"/>
      <c r="T52" s="295"/>
      <c r="AD52" s="295"/>
    </row>
    <row r="53" spans="3:30">
      <c r="C53" s="296" t="s">
        <v>73</v>
      </c>
      <c r="D53" s="288">
        <f>DADOS_INVENTÁRIO!E116</f>
        <v>0</v>
      </c>
      <c r="E53" s="289">
        <v>14800</v>
      </c>
      <c r="F53" s="289">
        <f t="shared" si="12"/>
        <v>0</v>
      </c>
      <c r="J53" s="295"/>
      <c r="T53" s="295"/>
      <c r="AD53" s="295"/>
    </row>
    <row r="54" spans="3:30">
      <c r="C54" s="296" t="s">
        <v>74</v>
      </c>
      <c r="D54" s="288">
        <f>DADOS_INVENTÁRIO!E117</f>
        <v>0</v>
      </c>
      <c r="E54" s="289">
        <v>675</v>
      </c>
      <c r="F54" s="289">
        <f t="shared" si="12"/>
        <v>0</v>
      </c>
      <c r="J54" s="295"/>
      <c r="T54" s="295"/>
      <c r="AD54" s="295"/>
    </row>
    <row r="55" spans="3:30">
      <c r="C55" s="296" t="s">
        <v>75</v>
      </c>
      <c r="D55" s="288">
        <f>DADOS_INVENTÁRIO!E118</f>
        <v>0</v>
      </c>
      <c r="E55" s="289">
        <v>92</v>
      </c>
      <c r="F55" s="289">
        <f t="shared" si="12"/>
        <v>0</v>
      </c>
      <c r="J55" s="295"/>
      <c r="T55" s="295"/>
      <c r="AD55" s="295"/>
    </row>
    <row r="56" spans="3:30">
      <c r="C56" s="296" t="s">
        <v>76</v>
      </c>
      <c r="D56" s="288">
        <f>DADOS_INVENTÁRIO!E119</f>
        <v>0</v>
      </c>
      <c r="E56" s="289">
        <v>3500</v>
      </c>
      <c r="F56" s="289">
        <f t="shared" si="12"/>
        <v>0</v>
      </c>
      <c r="J56" s="295"/>
      <c r="T56" s="295"/>
      <c r="AD56" s="295"/>
    </row>
    <row r="57" spans="3:30">
      <c r="C57" s="296" t="s">
        <v>208</v>
      </c>
      <c r="D57" s="288">
        <f>DADOS_INVENTÁRIO!E120</f>
        <v>0</v>
      </c>
      <c r="E57" s="289">
        <v>1100</v>
      </c>
      <c r="F57" s="289">
        <f t="shared" si="12"/>
        <v>0</v>
      </c>
      <c r="J57" s="295"/>
      <c r="T57" s="295"/>
      <c r="AD57" s="295"/>
    </row>
    <row r="58" spans="3:30">
      <c r="C58" s="296" t="s">
        <v>77</v>
      </c>
      <c r="D58" s="288">
        <f>DADOS_INVENTÁRIO!E121</f>
        <v>0</v>
      </c>
      <c r="E58" s="289">
        <v>353</v>
      </c>
      <c r="F58" s="289">
        <f t="shared" si="12"/>
        <v>0</v>
      </c>
      <c r="J58" s="295"/>
      <c r="T58" s="295"/>
      <c r="AD58" s="295"/>
    </row>
    <row r="59" spans="3:30">
      <c r="C59" s="296" t="s">
        <v>78</v>
      </c>
      <c r="D59" s="288">
        <f>DADOS_INVENTÁRIO!E122</f>
        <v>0</v>
      </c>
      <c r="E59" s="289">
        <v>4470</v>
      </c>
      <c r="F59" s="289">
        <f t="shared" si="12"/>
        <v>0</v>
      </c>
      <c r="J59" s="295"/>
      <c r="T59" s="295"/>
      <c r="AD59" s="295"/>
    </row>
    <row r="60" spans="3:30">
      <c r="C60" s="296" t="s">
        <v>79</v>
      </c>
      <c r="D60" s="288">
        <f>DADOS_INVENTÁRIO!E123</f>
        <v>0</v>
      </c>
      <c r="E60" s="289">
        <v>124</v>
      </c>
      <c r="F60" s="289">
        <f t="shared" si="12"/>
        <v>0</v>
      </c>
      <c r="J60" s="295"/>
      <c r="T60" s="295"/>
      <c r="AD60" s="295"/>
    </row>
    <row r="61" spans="3:30">
      <c r="C61" s="296" t="s">
        <v>80</v>
      </c>
      <c r="D61" s="288">
        <f>DADOS_INVENTÁRIO!E124</f>
        <v>0</v>
      </c>
      <c r="E61" s="289">
        <v>3220</v>
      </c>
      <c r="F61" s="289">
        <f t="shared" si="12"/>
        <v>0</v>
      </c>
      <c r="J61" s="295"/>
      <c r="T61" s="295"/>
      <c r="AD61" s="295"/>
    </row>
    <row r="62" spans="3:30">
      <c r="C62" s="296" t="s">
        <v>81</v>
      </c>
      <c r="D62" s="288">
        <f>DADOS_INVENTÁRIO!E125</f>
        <v>0</v>
      </c>
      <c r="E62" s="289">
        <v>9810</v>
      </c>
      <c r="F62" s="289">
        <f t="shared" si="12"/>
        <v>0</v>
      </c>
      <c r="J62" s="295"/>
      <c r="T62" s="295"/>
      <c r="AD62" s="295"/>
    </row>
    <row r="63" spans="3:30">
      <c r="C63" s="296" t="s">
        <v>82</v>
      </c>
      <c r="D63" s="288">
        <f>DADOS_INVENTÁRIO!E126</f>
        <v>0</v>
      </c>
      <c r="E63" s="289">
        <v>1030</v>
      </c>
      <c r="F63" s="289">
        <f t="shared" si="12"/>
        <v>0</v>
      </c>
      <c r="J63" s="295"/>
      <c r="T63" s="295"/>
      <c r="AD63" s="295"/>
    </row>
    <row r="64" spans="3:30">
      <c r="C64" s="296" t="s">
        <v>83</v>
      </c>
      <c r="D64" s="288">
        <f>DADOS_INVENTÁRIO!E127</f>
        <v>0</v>
      </c>
      <c r="E64" s="289">
        <v>1640</v>
      </c>
      <c r="F64" s="289">
        <f t="shared" si="12"/>
        <v>0</v>
      </c>
      <c r="J64" s="295"/>
      <c r="T64" s="295"/>
      <c r="AD64" s="295"/>
    </row>
    <row r="65" spans="3:30">
      <c r="C65" s="296" t="s">
        <v>84</v>
      </c>
      <c r="D65" s="288">
        <f>DADOS_INVENTÁRIO!E128</f>
        <v>0</v>
      </c>
      <c r="E65" s="289">
        <v>7390</v>
      </c>
      <c r="F65" s="289">
        <f t="shared" si="12"/>
        <v>0</v>
      </c>
      <c r="J65" s="295"/>
      <c r="T65" s="295"/>
      <c r="AD65" s="295"/>
    </row>
    <row r="66" spans="3:30">
      <c r="C66" s="296" t="s">
        <v>85</v>
      </c>
      <c r="D66" s="288">
        <f>DADOS_INVENTÁRIO!E129</f>
        <v>0</v>
      </c>
      <c r="E66" s="289">
        <v>12200</v>
      </c>
      <c r="F66" s="289">
        <f t="shared" si="12"/>
        <v>0</v>
      </c>
      <c r="J66" s="295"/>
      <c r="T66" s="295"/>
      <c r="AD66" s="295"/>
    </row>
    <row r="67" spans="3:30">
      <c r="C67" s="296" t="s">
        <v>86</v>
      </c>
      <c r="D67" s="288">
        <f>DADOS_INVENTÁRIO!E130</f>
        <v>0</v>
      </c>
      <c r="E67" s="289">
        <v>8830</v>
      </c>
      <c r="F67" s="289">
        <f t="shared" si="12"/>
        <v>0</v>
      </c>
      <c r="J67" s="295"/>
      <c r="T67" s="295"/>
      <c r="AD67" s="295"/>
    </row>
    <row r="68" spans="3:30">
      <c r="C68" s="296" t="s">
        <v>87</v>
      </c>
      <c r="D68" s="288">
        <f>DADOS_INVENTÁRIO!E131</f>
        <v>0</v>
      </c>
      <c r="E68" s="289">
        <v>10300</v>
      </c>
      <c r="F68" s="289">
        <f t="shared" si="12"/>
        <v>0</v>
      </c>
      <c r="J68" s="295"/>
      <c r="T68" s="295"/>
      <c r="AD68" s="295"/>
    </row>
    <row r="69" spans="3:30">
      <c r="C69" s="296" t="s">
        <v>88</v>
      </c>
      <c r="D69" s="288">
        <f>DADOS_INVENTÁRIO!E132</f>
        <v>0</v>
      </c>
      <c r="E69" s="289">
        <v>8860</v>
      </c>
      <c r="F69" s="289">
        <f t="shared" si="12"/>
        <v>0</v>
      </c>
      <c r="J69" s="295"/>
      <c r="T69" s="295"/>
      <c r="AD69" s="295"/>
    </row>
    <row r="70" spans="3:30">
      <c r="C70" s="296" t="s">
        <v>89</v>
      </c>
      <c r="D70" s="288">
        <f>DADOS_INVENTÁRIO!E133</f>
        <v>0</v>
      </c>
      <c r="E70" s="289">
        <v>9160</v>
      </c>
      <c r="F70" s="289">
        <f t="shared" si="12"/>
        <v>0</v>
      </c>
      <c r="J70" s="295"/>
      <c r="T70" s="295"/>
      <c r="AD70" s="295"/>
    </row>
    <row r="71" spans="3:30">
      <c r="C71" s="296" t="s">
        <v>90</v>
      </c>
      <c r="D71" s="288">
        <f>DADOS_INVENTÁRIO!E134</f>
        <v>0</v>
      </c>
      <c r="E71" s="289">
        <v>9300</v>
      </c>
      <c r="F71" s="289">
        <f t="shared" si="12"/>
        <v>0</v>
      </c>
      <c r="J71" s="295"/>
      <c r="T71" s="295"/>
      <c r="AD71" s="295"/>
    </row>
    <row r="72" spans="3:30">
      <c r="C72" s="296" t="s">
        <v>91</v>
      </c>
      <c r="D72" s="288">
        <f>DADOS_INVENTÁRIO!E135</f>
        <v>0</v>
      </c>
      <c r="E72" s="289">
        <v>22800</v>
      </c>
      <c r="F72" s="289">
        <f t="shared" si="12"/>
        <v>0</v>
      </c>
      <c r="J72" s="295"/>
      <c r="T72" s="295"/>
      <c r="AD72" s="295"/>
    </row>
    <row r="73" spans="3:30">
      <c r="C73" s="296" t="s">
        <v>191</v>
      </c>
      <c r="D73" s="288">
        <f>DADOS_INVENTÁRIO!E136</f>
        <v>0</v>
      </c>
      <c r="E73" s="289">
        <v>53</v>
      </c>
      <c r="F73" s="289">
        <f t="shared" si="12"/>
        <v>0</v>
      </c>
      <c r="J73" s="295"/>
      <c r="T73" s="295"/>
      <c r="AD73" s="295"/>
    </row>
    <row r="74" spans="3:30">
      <c r="C74" s="296" t="s">
        <v>92</v>
      </c>
      <c r="D74" s="288">
        <f>DADOS_INVENTÁRIO!E137</f>
        <v>0</v>
      </c>
      <c r="E74" s="289">
        <v>12</v>
      </c>
      <c r="F74" s="289">
        <f t="shared" si="12"/>
        <v>0</v>
      </c>
      <c r="J74" s="295"/>
      <c r="T74" s="295"/>
      <c r="AD74" s="295"/>
    </row>
    <row r="75" spans="3:30">
      <c r="C75" s="296" t="s">
        <v>192</v>
      </c>
      <c r="D75" s="288">
        <f>DADOS_INVENTÁRIO!E138</f>
        <v>0</v>
      </c>
      <c r="E75" s="289">
        <v>1340</v>
      </c>
      <c r="F75" s="289">
        <f t="shared" si="12"/>
        <v>0</v>
      </c>
      <c r="J75" s="295"/>
      <c r="T75" s="295"/>
      <c r="AD75" s="295"/>
    </row>
    <row r="76" spans="3:30">
      <c r="C76" s="296" t="s">
        <v>93</v>
      </c>
      <c r="D76" s="288">
        <f>DADOS_INVENTÁRIO!E139</f>
        <v>0</v>
      </c>
      <c r="E76" s="289">
        <v>1370</v>
      </c>
      <c r="F76" s="289">
        <f t="shared" si="12"/>
        <v>0</v>
      </c>
      <c r="J76" s="295"/>
      <c r="T76" s="295"/>
      <c r="AD76" s="295"/>
    </row>
    <row r="77" spans="3:30">
      <c r="C77" s="296" t="s">
        <v>94</v>
      </c>
      <c r="D77" s="288">
        <f>DADOS_INVENTÁRIO!E140</f>
        <v>0</v>
      </c>
      <c r="E77" s="289">
        <v>693</v>
      </c>
      <c r="F77" s="289">
        <f t="shared" si="12"/>
        <v>0</v>
      </c>
      <c r="J77" s="295"/>
      <c r="T77" s="295"/>
      <c r="AD77" s="295"/>
    </row>
    <row r="78" spans="3:30">
      <c r="C78" s="296" t="s">
        <v>95</v>
      </c>
      <c r="D78" s="288">
        <f>DADOS_INVENTÁRIO!E141</f>
        <v>0</v>
      </c>
      <c r="E78" s="289">
        <v>794</v>
      </c>
      <c r="F78" s="289">
        <f t="shared" si="12"/>
        <v>0</v>
      </c>
      <c r="J78" s="295"/>
      <c r="T78" s="295"/>
      <c r="AD78" s="295"/>
    </row>
    <row r="79" spans="3:30">
      <c r="C79" s="296" t="s">
        <v>96</v>
      </c>
      <c r="D79" s="288">
        <f>DADOS_INVENTÁRIO!E142</f>
        <v>0</v>
      </c>
      <c r="E79" s="289">
        <v>2107</v>
      </c>
      <c r="F79" s="289">
        <f t="shared" si="12"/>
        <v>0</v>
      </c>
      <c r="J79" s="295"/>
      <c r="T79" s="295"/>
      <c r="AD79" s="295"/>
    </row>
    <row r="80" spans="3:30">
      <c r="C80" s="296" t="s">
        <v>97</v>
      </c>
      <c r="D80" s="288">
        <f>DADOS_INVENTÁRIO!E143</f>
        <v>0</v>
      </c>
      <c r="E80" s="289">
        <v>1774</v>
      </c>
      <c r="F80" s="289">
        <f t="shared" si="12"/>
        <v>0</v>
      </c>
      <c r="J80" s="295"/>
      <c r="T80" s="295"/>
      <c r="AD80" s="295"/>
    </row>
    <row r="81" spans="3:30">
      <c r="C81" s="296" t="s">
        <v>98</v>
      </c>
      <c r="D81" s="288">
        <f>DADOS_INVENTÁRIO!E144</f>
        <v>0</v>
      </c>
      <c r="E81" s="289">
        <v>1825</v>
      </c>
      <c r="F81" s="289">
        <f t="shared" si="12"/>
        <v>0</v>
      </c>
      <c r="J81" s="295"/>
      <c r="T81" s="295"/>
      <c r="AD81" s="295"/>
    </row>
    <row r="82" spans="3:30">
      <c r="C82" s="296" t="s">
        <v>99</v>
      </c>
      <c r="D82" s="288">
        <f>DADOS_INVENTÁRIO!E145</f>
        <v>0</v>
      </c>
      <c r="E82" s="289">
        <v>3152</v>
      </c>
      <c r="F82" s="289">
        <f t="shared" si="12"/>
        <v>0</v>
      </c>
      <c r="J82" s="295"/>
      <c r="T82" s="295"/>
      <c r="AD82" s="295"/>
    </row>
    <row r="83" spans="3:30">
      <c r="C83" s="296" t="s">
        <v>100</v>
      </c>
      <c r="D83" s="288">
        <f>DADOS_INVENTÁRIO!E146</f>
        <v>0</v>
      </c>
      <c r="E83" s="289">
        <v>3985</v>
      </c>
      <c r="F83" s="289">
        <f t="shared" si="12"/>
        <v>0</v>
      </c>
      <c r="J83" s="295"/>
      <c r="T83" s="295"/>
      <c r="AD83" s="295"/>
    </row>
    <row r="84" spans="3:30">
      <c r="C84" s="296" t="s">
        <v>101</v>
      </c>
      <c r="D84" s="288">
        <f>DADOS_INVENTÁRIO!E147</f>
        <v>0</v>
      </c>
      <c r="E84" s="289">
        <v>13396</v>
      </c>
      <c r="F84" s="289">
        <f t="shared" si="12"/>
        <v>0</v>
      </c>
      <c r="J84" s="295"/>
      <c r="T84" s="295"/>
      <c r="AD84" s="295"/>
    </row>
    <row r="85" spans="3:30">
      <c r="C85" s="296" t="s">
        <v>102</v>
      </c>
      <c r="D85" s="288">
        <f>DADOS_INVENTÁRIO!E148</f>
        <v>0</v>
      </c>
      <c r="E85" s="289">
        <v>3124</v>
      </c>
      <c r="F85" s="289">
        <f t="shared" si="12"/>
        <v>0</v>
      </c>
      <c r="J85" s="295"/>
      <c r="T85" s="295"/>
      <c r="AD85" s="295"/>
    </row>
    <row r="86" spans="3:30">
      <c r="C86" s="296" t="s">
        <v>103</v>
      </c>
      <c r="D86" s="288">
        <f>DADOS_INVENTÁRIO!E149</f>
        <v>0</v>
      </c>
      <c r="E86" s="289">
        <v>4750</v>
      </c>
      <c r="F86" s="289">
        <f t="shared" si="12"/>
        <v>0</v>
      </c>
      <c r="J86" s="295"/>
      <c r="T86" s="295"/>
      <c r="AD86" s="295"/>
    </row>
    <row r="87" spans="3:30">
      <c r="C87" s="296" t="s">
        <v>104</v>
      </c>
      <c r="D87" s="288">
        <f>DADOS_INVENTÁRIO!E150</f>
        <v>0</v>
      </c>
      <c r="E87" s="289">
        <v>10900</v>
      </c>
      <c r="F87" s="289">
        <f t="shared" si="12"/>
        <v>0</v>
      </c>
      <c r="J87" s="295"/>
      <c r="T87" s="295"/>
      <c r="AD87" s="295"/>
    </row>
    <row r="88" spans="3:30">
      <c r="C88" s="296" t="s">
        <v>105</v>
      </c>
      <c r="D88" s="288">
        <f>DADOS_INVENTÁRIO!E151</f>
        <v>0</v>
      </c>
      <c r="E88" s="289">
        <v>14400</v>
      </c>
      <c r="F88" s="289">
        <f t="shared" si="12"/>
        <v>0</v>
      </c>
      <c r="J88" s="295"/>
      <c r="T88" s="295"/>
      <c r="AD88" s="295"/>
    </row>
    <row r="89" spans="3:30">
      <c r="C89" s="296" t="s">
        <v>106</v>
      </c>
      <c r="D89" s="288">
        <f>DADOS_INVENTÁRIO!E152</f>
        <v>0</v>
      </c>
      <c r="E89" s="289">
        <v>6130</v>
      </c>
      <c r="F89" s="289">
        <f t="shared" si="12"/>
        <v>0</v>
      </c>
      <c r="J89" s="295"/>
      <c r="T89" s="295"/>
      <c r="AD89" s="295"/>
    </row>
    <row r="90" spans="3:30">
      <c r="C90" s="296" t="s">
        <v>107</v>
      </c>
      <c r="D90" s="288">
        <f>DADOS_INVENTÁRIO!E153</f>
        <v>0</v>
      </c>
      <c r="E90" s="289">
        <v>10000</v>
      </c>
      <c r="F90" s="289">
        <f t="shared" si="12"/>
        <v>0</v>
      </c>
      <c r="J90" s="295"/>
      <c r="T90" s="295"/>
      <c r="AD90" s="295"/>
    </row>
    <row r="91" spans="3:30">
      <c r="C91" s="296" t="s">
        <v>108</v>
      </c>
      <c r="D91" s="288">
        <f>DADOS_INVENTÁRIO!E154</f>
        <v>0</v>
      </c>
      <c r="E91" s="289">
        <v>7370</v>
      </c>
      <c r="F91" s="289">
        <f t="shared" si="12"/>
        <v>0</v>
      </c>
      <c r="J91" s="295"/>
      <c r="T91" s="295"/>
      <c r="AD91" s="295"/>
    </row>
    <row r="92" spans="3:30">
      <c r="C92" s="296" t="s">
        <v>109</v>
      </c>
      <c r="D92" s="288">
        <f>DADOS_INVENTÁRIO!E155</f>
        <v>0</v>
      </c>
      <c r="E92" s="289">
        <v>1890</v>
      </c>
      <c r="F92" s="289">
        <f t="shared" si="12"/>
        <v>0</v>
      </c>
      <c r="J92" s="295"/>
      <c r="T92" s="295"/>
      <c r="AD92" s="295"/>
    </row>
    <row r="93" spans="3:30">
      <c r="C93" s="296" t="s">
        <v>110</v>
      </c>
      <c r="D93" s="288">
        <f>DADOS_INVENTÁRIO!E156</f>
        <v>0</v>
      </c>
      <c r="E93" s="289">
        <v>7140</v>
      </c>
      <c r="F93" s="289">
        <f t="shared" si="12"/>
        <v>0</v>
      </c>
      <c r="J93" s="295"/>
      <c r="T93" s="295"/>
      <c r="AD93" s="295"/>
    </row>
    <row r="94" spans="3:30">
      <c r="C94" s="296" t="s">
        <v>111</v>
      </c>
      <c r="D94" s="288">
        <f>DADOS_INVENTÁRIO!E157</f>
        <v>0</v>
      </c>
      <c r="E94" s="289">
        <v>1640</v>
      </c>
      <c r="F94" s="289">
        <f t="shared" si="12"/>
        <v>0</v>
      </c>
      <c r="J94" s="295"/>
      <c r="T94" s="295"/>
      <c r="AD94" s="295"/>
    </row>
    <row r="95" spans="3:30">
      <c r="C95" s="296" t="s">
        <v>112</v>
      </c>
      <c r="D95" s="288">
        <f>DADOS_INVENTÁRIO!E158</f>
        <v>0</v>
      </c>
      <c r="E95" s="289">
        <v>1400</v>
      </c>
      <c r="F95" s="289">
        <f t="shared" si="12"/>
        <v>0</v>
      </c>
      <c r="J95" s="295"/>
      <c r="T95" s="295"/>
      <c r="AD95" s="295"/>
    </row>
    <row r="96" spans="3:30">
      <c r="C96" s="296" t="s">
        <v>113</v>
      </c>
      <c r="D96" s="288">
        <f>DADOS_INVENTÁRIO!E159</f>
        <v>0</v>
      </c>
      <c r="E96" s="289">
        <v>5</v>
      </c>
      <c r="F96" s="289">
        <f t="shared" si="12"/>
        <v>0</v>
      </c>
      <c r="J96" s="295"/>
      <c r="T96" s="295"/>
      <c r="AD96" s="295"/>
    </row>
    <row r="97" spans="3:30">
      <c r="C97" s="296" t="s">
        <v>114</v>
      </c>
      <c r="D97" s="288">
        <f>DADOS_INVENTÁRIO!E160</f>
        <v>0</v>
      </c>
      <c r="E97" s="289">
        <v>146</v>
      </c>
      <c r="F97" s="289">
        <f t="shared" si="12"/>
        <v>0</v>
      </c>
      <c r="J97" s="295"/>
      <c r="T97" s="295"/>
      <c r="AD97" s="295"/>
    </row>
    <row r="98" spans="3:30">
      <c r="C98" s="296" t="s">
        <v>115</v>
      </c>
      <c r="D98" s="288">
        <f>DADOS_INVENTÁRIO!E161</f>
        <v>0</v>
      </c>
      <c r="E98" s="289">
        <v>77</v>
      </c>
      <c r="F98" s="289">
        <f t="shared" si="12"/>
        <v>0</v>
      </c>
      <c r="J98" s="295"/>
      <c r="T98" s="295"/>
      <c r="AD98" s="295"/>
    </row>
    <row r="99" spans="3:30">
      <c r="C99" s="296" t="s">
        <v>116</v>
      </c>
      <c r="D99" s="288">
        <f>DADOS_INVENTÁRIO!E162</f>
        <v>0</v>
      </c>
      <c r="E99" s="289">
        <v>609</v>
      </c>
      <c r="F99" s="289">
        <f t="shared" si="12"/>
        <v>0</v>
      </c>
      <c r="J99" s="295"/>
      <c r="T99" s="295"/>
      <c r="AD99" s="295"/>
    </row>
    <row r="100" spans="3:30">
      <c r="C100" s="296" t="s">
        <v>117</v>
      </c>
      <c r="D100" s="288">
        <f>DADOS_INVENTÁRIO!E163</f>
        <v>0</v>
      </c>
      <c r="E100" s="289">
        <v>725</v>
      </c>
      <c r="F100" s="289">
        <f t="shared" si="12"/>
        <v>0</v>
      </c>
      <c r="J100" s="295"/>
      <c r="T100" s="295"/>
      <c r="AD100" s="295"/>
    </row>
    <row r="101" spans="3:30">
      <c r="C101" s="296" t="s">
        <v>118</v>
      </c>
      <c r="D101" s="288">
        <f>DADOS_INVENTÁRIO!E164</f>
        <v>0</v>
      </c>
      <c r="E101" s="289">
        <v>2310</v>
      </c>
      <c r="F101" s="289">
        <f t="shared" si="12"/>
        <v>0</v>
      </c>
      <c r="J101" s="295"/>
      <c r="T101" s="295"/>
      <c r="AD101" s="295"/>
    </row>
    <row r="102" spans="3:30">
      <c r="C102" s="296" t="s">
        <v>119</v>
      </c>
      <c r="D102" s="288">
        <f>DADOS_INVENTÁRIO!E165</f>
        <v>0</v>
      </c>
      <c r="E102" s="289">
        <v>122</v>
      </c>
      <c r="F102" s="289">
        <f t="shared" si="12"/>
        <v>0</v>
      </c>
      <c r="J102" s="295"/>
      <c r="T102" s="295"/>
      <c r="AD102" s="295"/>
    </row>
    <row r="103" spans="3:30">
      <c r="C103" s="296" t="s">
        <v>120</v>
      </c>
      <c r="D103" s="288">
        <f>DADOS_INVENTÁRIO!E166</f>
        <v>0</v>
      </c>
      <c r="E103" s="289">
        <v>595</v>
      </c>
      <c r="F103" s="289">
        <f t="shared" si="12"/>
        <v>0</v>
      </c>
      <c r="J103" s="295"/>
      <c r="T103" s="295"/>
      <c r="AD103" s="295"/>
    </row>
    <row r="104" spans="3:30">
      <c r="C104" s="296" t="s">
        <v>121</v>
      </c>
      <c r="D104" s="288">
        <f>DADOS_INVENTÁRIO!E167</f>
        <v>0</v>
      </c>
      <c r="E104" s="289">
        <v>151</v>
      </c>
      <c r="F104" s="289">
        <f t="shared" si="12"/>
        <v>0</v>
      </c>
      <c r="J104" s="295"/>
      <c r="T104" s="295"/>
      <c r="AD104" s="295"/>
    </row>
    <row r="105" spans="3:30">
      <c r="C105" s="296" t="s">
        <v>209</v>
      </c>
      <c r="D105" s="288">
        <f>DADOS_INVENTÁRIO!E168</f>
        <v>0</v>
      </c>
      <c r="E105" s="289">
        <v>17200</v>
      </c>
      <c r="F105" s="289">
        <f t="shared" si="12"/>
        <v>0</v>
      </c>
      <c r="J105" s="295"/>
      <c r="T105" s="295"/>
      <c r="AD105" s="295"/>
    </row>
    <row r="106" spans="3:30">
      <c r="C106" s="296" t="s">
        <v>122</v>
      </c>
      <c r="D106" s="288">
        <f>DADOS_INVENTÁRIO!E169</f>
        <v>0</v>
      </c>
      <c r="E106" s="289">
        <v>7500</v>
      </c>
      <c r="F106" s="289">
        <f t="shared" si="12"/>
        <v>0</v>
      </c>
      <c r="J106" s="295"/>
      <c r="T106" s="295"/>
      <c r="AD106" s="295"/>
    </row>
    <row r="107" spans="3:30">
      <c r="C107" s="296" t="s">
        <v>123</v>
      </c>
      <c r="D107" s="288">
        <f>DADOS_INVENTÁRIO!E170</f>
        <v>0</v>
      </c>
      <c r="E107" s="289">
        <v>17700</v>
      </c>
      <c r="F107" s="289">
        <f t="shared" si="12"/>
        <v>0</v>
      </c>
      <c r="J107" s="295"/>
      <c r="T107" s="295"/>
      <c r="AD107" s="295"/>
    </row>
    <row r="108" spans="3:30">
      <c r="C108" s="296" t="s">
        <v>124</v>
      </c>
      <c r="D108" s="288">
        <f>DADOS_INVENTÁRIO!E171</f>
        <v>0</v>
      </c>
      <c r="E108" s="289">
        <v>17340</v>
      </c>
      <c r="F108" s="289">
        <f t="shared" si="12"/>
        <v>0</v>
      </c>
      <c r="J108" s="295"/>
      <c r="T108" s="295"/>
      <c r="AD108" s="295"/>
    </row>
    <row r="109" spans="3:30">
      <c r="C109" s="296" t="s">
        <v>125</v>
      </c>
      <c r="D109" s="288">
        <f>DADOS_INVENTÁRIO!E172</f>
        <v>0</v>
      </c>
      <c r="E109" s="289">
        <v>14900</v>
      </c>
      <c r="F109" s="289">
        <f t="shared" si="12"/>
        <v>0</v>
      </c>
      <c r="J109" s="295"/>
      <c r="T109" s="295"/>
      <c r="AD109" s="295"/>
    </row>
    <row r="110" spans="3:30">
      <c r="C110" s="296" t="s">
        <v>126</v>
      </c>
      <c r="D110" s="288">
        <f>DADOS_INVENTÁRIO!E173</f>
        <v>0</v>
      </c>
      <c r="E110" s="289">
        <v>6320</v>
      </c>
      <c r="F110" s="289">
        <f t="shared" si="12"/>
        <v>0</v>
      </c>
      <c r="J110" s="295"/>
      <c r="T110" s="295"/>
      <c r="AD110" s="295"/>
    </row>
    <row r="111" spans="3:30">
      <c r="C111" s="296" t="s">
        <v>127</v>
      </c>
      <c r="D111" s="288">
        <f>DADOS_INVENTÁRIO!E174</f>
        <v>0</v>
      </c>
      <c r="E111" s="289">
        <v>756</v>
      </c>
      <c r="F111" s="289">
        <f t="shared" ref="F111:F132" si="13">D111*E111</f>
        <v>0</v>
      </c>
      <c r="J111" s="295"/>
      <c r="T111" s="295"/>
      <c r="AD111" s="295"/>
    </row>
    <row r="112" spans="3:30">
      <c r="C112" s="296" t="s">
        <v>128</v>
      </c>
      <c r="D112" s="288">
        <f>DADOS_INVENTÁRIO!E175</f>
        <v>0</v>
      </c>
      <c r="E112" s="289">
        <v>350</v>
      </c>
      <c r="F112" s="289">
        <f t="shared" si="13"/>
        <v>0</v>
      </c>
      <c r="J112" s="295"/>
      <c r="T112" s="295"/>
      <c r="AD112" s="295"/>
    </row>
    <row r="113" spans="3:30">
      <c r="C113" s="296" t="s">
        <v>129</v>
      </c>
      <c r="D113" s="288">
        <f>DADOS_INVENTÁRIO!E176</f>
        <v>0</v>
      </c>
      <c r="E113" s="289">
        <v>708</v>
      </c>
      <c r="F113" s="289">
        <f t="shared" si="13"/>
        <v>0</v>
      </c>
      <c r="J113" s="295"/>
      <c r="T113" s="295"/>
      <c r="AD113" s="295"/>
    </row>
    <row r="114" spans="3:30">
      <c r="C114" s="296" t="s">
        <v>130</v>
      </c>
      <c r="D114" s="288">
        <f>DADOS_INVENTÁRIO!E177</f>
        <v>0</v>
      </c>
      <c r="E114" s="289">
        <v>659</v>
      </c>
      <c r="F114" s="289">
        <f t="shared" si="13"/>
        <v>0</v>
      </c>
      <c r="J114" s="295"/>
      <c r="T114" s="295"/>
      <c r="AD114" s="295"/>
    </row>
    <row r="115" spans="3:30">
      <c r="C115" s="296" t="s">
        <v>131</v>
      </c>
      <c r="D115" s="288">
        <f>DADOS_INVENTÁRIO!E178</f>
        <v>0</v>
      </c>
      <c r="E115" s="289">
        <v>359</v>
      </c>
      <c r="F115" s="289">
        <f t="shared" si="13"/>
        <v>0</v>
      </c>
      <c r="J115" s="295"/>
      <c r="T115" s="295"/>
      <c r="AD115" s="295"/>
    </row>
    <row r="116" spans="3:30">
      <c r="C116" s="296" t="s">
        <v>132</v>
      </c>
      <c r="D116" s="288">
        <f>DADOS_INVENTÁRIO!E179</f>
        <v>0</v>
      </c>
      <c r="E116" s="289">
        <v>575</v>
      </c>
      <c r="F116" s="289">
        <f t="shared" si="13"/>
        <v>0</v>
      </c>
      <c r="J116" s="295"/>
      <c r="T116" s="295"/>
      <c r="AD116" s="295"/>
    </row>
    <row r="117" spans="3:30">
      <c r="C117" s="296" t="s">
        <v>133</v>
      </c>
      <c r="D117" s="288">
        <f>DADOS_INVENTÁRIO!E180</f>
        <v>0</v>
      </c>
      <c r="E117" s="289">
        <v>580</v>
      </c>
      <c r="F117" s="289">
        <f t="shared" si="13"/>
        <v>0</v>
      </c>
      <c r="J117" s="295"/>
      <c r="T117" s="295"/>
      <c r="AD117" s="295"/>
    </row>
    <row r="118" spans="3:30">
      <c r="C118" s="296" t="s">
        <v>134</v>
      </c>
      <c r="D118" s="288">
        <f>DADOS_INVENTÁRIO!E181</f>
        <v>0</v>
      </c>
      <c r="E118" s="289">
        <v>110</v>
      </c>
      <c r="F118" s="289">
        <f t="shared" si="13"/>
        <v>0</v>
      </c>
      <c r="J118" s="295"/>
      <c r="T118" s="295"/>
      <c r="AD118" s="295"/>
    </row>
    <row r="119" spans="3:30">
      <c r="C119" s="296" t="s">
        <v>135</v>
      </c>
      <c r="D119" s="288">
        <f>DADOS_INVENTÁRIO!E182</f>
        <v>0</v>
      </c>
      <c r="E119" s="289">
        <v>297</v>
      </c>
      <c r="F119" s="289">
        <f t="shared" si="13"/>
        <v>0</v>
      </c>
      <c r="J119" s="295"/>
      <c r="T119" s="295"/>
      <c r="AD119" s="295"/>
    </row>
    <row r="120" spans="3:30">
      <c r="C120" s="296" t="s">
        <v>136</v>
      </c>
      <c r="D120" s="288">
        <f>DADOS_INVENTÁRIO!E183</f>
        <v>0</v>
      </c>
      <c r="E120" s="289">
        <v>59</v>
      </c>
      <c r="F120" s="289">
        <f t="shared" si="13"/>
        <v>0</v>
      </c>
      <c r="J120" s="295"/>
      <c r="T120" s="295"/>
      <c r="AD120" s="295"/>
    </row>
    <row r="121" spans="3:30">
      <c r="C121" s="296" t="s">
        <v>137</v>
      </c>
      <c r="D121" s="288">
        <f>DADOS_INVENTÁRIO!E184</f>
        <v>0</v>
      </c>
      <c r="E121" s="289">
        <v>1870</v>
      </c>
      <c r="F121" s="289">
        <f t="shared" si="13"/>
        <v>0</v>
      </c>
      <c r="J121" s="295"/>
      <c r="T121" s="295"/>
      <c r="AD121" s="295"/>
    </row>
    <row r="122" spans="3:30">
      <c r="C122" s="296" t="s">
        <v>138</v>
      </c>
      <c r="D122" s="288">
        <f>DADOS_INVENTÁRIO!E185</f>
        <v>0</v>
      </c>
      <c r="E122" s="289">
        <v>2800</v>
      </c>
      <c r="F122" s="289">
        <f t="shared" si="13"/>
        <v>0</v>
      </c>
      <c r="J122" s="295"/>
      <c r="T122" s="295"/>
      <c r="AD122" s="295"/>
    </row>
    <row r="123" spans="3:30">
      <c r="C123" s="296" t="s">
        <v>139</v>
      </c>
      <c r="D123" s="288">
        <f>DADOS_INVENTÁRIO!E186</f>
        <v>0</v>
      </c>
      <c r="E123" s="289">
        <v>1500</v>
      </c>
      <c r="F123" s="289">
        <f t="shared" si="13"/>
        <v>0</v>
      </c>
      <c r="J123" s="295"/>
      <c r="T123" s="295"/>
      <c r="AD123" s="295"/>
    </row>
    <row r="124" spans="3:30">
      <c r="C124" s="296" t="s">
        <v>140</v>
      </c>
      <c r="D124" s="288">
        <f>DADOS_INVENTÁRIO!E187</f>
        <v>0</v>
      </c>
      <c r="E124" s="289">
        <v>10300</v>
      </c>
      <c r="F124" s="289">
        <f t="shared" si="13"/>
        <v>0</v>
      </c>
      <c r="J124" s="295"/>
      <c r="T124" s="295"/>
      <c r="AD124" s="295"/>
    </row>
    <row r="125" spans="3:30">
      <c r="C125" s="296" t="s">
        <v>141</v>
      </c>
      <c r="D125" s="288">
        <f>DADOS_INVENTÁRIO!E188</f>
        <v>0</v>
      </c>
      <c r="E125" s="289">
        <v>1</v>
      </c>
      <c r="F125" s="289">
        <f t="shared" si="13"/>
        <v>0</v>
      </c>
      <c r="J125" s="295"/>
      <c r="T125" s="295"/>
      <c r="AD125" s="295"/>
    </row>
    <row r="126" spans="3:30">
      <c r="C126" s="296" t="s">
        <v>142</v>
      </c>
      <c r="D126" s="288">
        <f>DADOS_INVENTÁRIO!E189</f>
        <v>0</v>
      </c>
      <c r="E126" s="289">
        <v>9</v>
      </c>
      <c r="F126" s="289">
        <f t="shared" si="13"/>
        <v>0</v>
      </c>
      <c r="J126" s="295"/>
      <c r="T126" s="295"/>
      <c r="AD126" s="295"/>
    </row>
    <row r="127" spans="3:30">
      <c r="C127" s="296" t="s">
        <v>143</v>
      </c>
      <c r="D127" s="288">
        <f>DADOS_INVENTÁRIO!E190</f>
        <v>0</v>
      </c>
      <c r="E127" s="289">
        <v>13</v>
      </c>
      <c r="F127" s="289">
        <f t="shared" si="13"/>
        <v>0</v>
      </c>
      <c r="J127" s="295"/>
      <c r="T127" s="295"/>
      <c r="AD127" s="295"/>
    </row>
    <row r="128" spans="3:30">
      <c r="C128" s="296" t="s">
        <v>144</v>
      </c>
      <c r="D128" s="288">
        <f>DADOS_INVENTÁRIO!E191</f>
        <v>0</v>
      </c>
      <c r="E128" s="289">
        <v>3</v>
      </c>
      <c r="F128" s="289">
        <f t="shared" si="13"/>
        <v>0</v>
      </c>
      <c r="J128" s="295"/>
      <c r="T128" s="295"/>
      <c r="AD128" s="295"/>
    </row>
    <row r="129" spans="3:30">
      <c r="C129" s="296" t="s">
        <v>145</v>
      </c>
      <c r="D129" s="288">
        <f>DADOS_INVENTÁRIO!E192</f>
        <v>0</v>
      </c>
      <c r="E129" s="289">
        <v>3</v>
      </c>
      <c r="F129" s="289">
        <f t="shared" si="13"/>
        <v>0</v>
      </c>
      <c r="J129" s="295"/>
      <c r="T129" s="295"/>
      <c r="AD129" s="295"/>
    </row>
    <row r="130" spans="3:30">
      <c r="C130" s="296" t="s">
        <v>146</v>
      </c>
      <c r="D130" s="288">
        <f>DADOS_INVENTÁRIO!E193</f>
        <v>0</v>
      </c>
      <c r="E130" s="289">
        <v>1943</v>
      </c>
      <c r="F130" s="289">
        <f t="shared" si="13"/>
        <v>0</v>
      </c>
      <c r="J130" s="295"/>
      <c r="T130" s="295"/>
      <c r="AD130" s="295"/>
    </row>
    <row r="131" spans="3:30">
      <c r="C131" s="296" t="s">
        <v>147</v>
      </c>
      <c r="D131" s="288">
        <f>DADOS_INVENTÁRIO!E194</f>
        <v>0</v>
      </c>
      <c r="E131" s="289">
        <v>1585</v>
      </c>
      <c r="F131" s="289">
        <f t="shared" si="13"/>
        <v>0</v>
      </c>
      <c r="J131" s="295"/>
      <c r="T131" s="295"/>
      <c r="AD131" s="295"/>
    </row>
    <row r="132" spans="3:30">
      <c r="C132" s="296" t="s">
        <v>148</v>
      </c>
      <c r="D132" s="288">
        <f>DADOS_INVENTÁRIO!E195</f>
        <v>0</v>
      </c>
      <c r="E132" s="289">
        <v>4657</v>
      </c>
      <c r="F132" s="289">
        <f t="shared" si="13"/>
        <v>0</v>
      </c>
      <c r="J132" s="295"/>
      <c r="T132" s="295"/>
      <c r="AD132" s="295"/>
    </row>
    <row r="133" spans="3:30">
      <c r="C133" s="296"/>
      <c r="J133" s="295"/>
      <c r="T133" s="295"/>
      <c r="AD133" s="295"/>
    </row>
    <row r="134" spans="3:30">
      <c r="C134" s="296"/>
      <c r="J134" s="295"/>
      <c r="T134" s="295"/>
      <c r="AD134" s="295"/>
    </row>
    <row r="135" spans="3:30">
      <c r="C135" s="296"/>
      <c r="J135" s="295"/>
      <c r="T135" s="295"/>
      <c r="AD135" s="295"/>
    </row>
    <row r="136" spans="3:30">
      <c r="C136" s="296"/>
    </row>
    <row r="137" spans="3:30">
      <c r="C137" s="296"/>
    </row>
    <row r="138" spans="3:30">
      <c r="C138" s="296"/>
    </row>
    <row r="139" spans="3:30">
      <c r="C139" s="296"/>
    </row>
    <row r="140" spans="3:30">
      <c r="C140" s="296"/>
    </row>
    <row r="141" spans="3:30">
      <c r="C141" s="296"/>
    </row>
    <row r="142" spans="3:30">
      <c r="C142" s="296"/>
    </row>
    <row r="143" spans="3:30">
      <c r="C143" s="296"/>
    </row>
    <row r="144" spans="3:30">
      <c r="C144" s="296"/>
    </row>
    <row r="145" spans="3:3">
      <c r="C145" s="296"/>
    </row>
    <row r="146" spans="3:3">
      <c r="C146" s="296"/>
    </row>
    <row r="147" spans="3:3">
      <c r="C147" s="296"/>
    </row>
    <row r="148" spans="3:3">
      <c r="C148" s="296"/>
    </row>
    <row r="149" spans="3:3">
      <c r="C149" s="296"/>
    </row>
    <row r="150" spans="3:3">
      <c r="C150" s="296"/>
    </row>
    <row r="151" spans="3:3">
      <c r="C151" s="296"/>
    </row>
    <row r="152" spans="3:3">
      <c r="C152" s="296"/>
    </row>
    <row r="153" spans="3:3">
      <c r="C153" s="296"/>
    </row>
    <row r="154" spans="3:3">
      <c r="C154" s="296"/>
    </row>
    <row r="155" spans="3:3">
      <c r="C155" s="296"/>
    </row>
    <row r="156" spans="3:3">
      <c r="C156" s="296"/>
    </row>
    <row r="157" spans="3:3">
      <c r="C157" s="296"/>
    </row>
    <row r="158" spans="3:3">
      <c r="C158" s="296"/>
    </row>
    <row r="159" spans="3:3">
      <c r="C159" s="296"/>
    </row>
    <row r="160" spans="3:3">
      <c r="C160" s="296"/>
    </row>
    <row r="161" spans="3:3">
      <c r="C161" s="296"/>
    </row>
    <row r="162" spans="3:3">
      <c r="C162" s="296"/>
    </row>
    <row r="163" spans="3:3">
      <c r="C163" s="296"/>
    </row>
    <row r="164" spans="3:3">
      <c r="C164" s="296"/>
    </row>
    <row r="165" spans="3:3">
      <c r="C165" s="296"/>
    </row>
  </sheetData>
  <sheetProtection algorithmName="SHA-512" hashValue="AF8fjTUZjkyvIJenNK27HYyPur05SX2iRPSBTBhiQn1QTry7wJInA1EU7dRTBeLi6hWx1TLCjL+H4R+NrOBqSw==" saltValue="wqkASlBLFlOEJY37teHR0A==" spinCount="100000" sheet="1" objects="1" scenarios="1" selectLockedCells="1" selectUnlockedCells="1"/>
  <mergeCells count="25">
    <mergeCell ref="S6:S9"/>
    <mergeCell ref="S12:S14"/>
    <mergeCell ref="L19:M19"/>
    <mergeCell ref="O19:R19"/>
    <mergeCell ref="I6:I9"/>
    <mergeCell ref="I12:I14"/>
    <mergeCell ref="V19:W19"/>
    <mergeCell ref="Y19:AB19"/>
    <mergeCell ref="AB23:AB26"/>
    <mergeCell ref="G42:G43"/>
    <mergeCell ref="B19:C19"/>
    <mergeCell ref="E19:H19"/>
    <mergeCell ref="R23:R26"/>
    <mergeCell ref="R29:R31"/>
    <mergeCell ref="H23:H26"/>
    <mergeCell ref="H29:H31"/>
    <mergeCell ref="AB29:AB31"/>
    <mergeCell ref="AC6:AC9"/>
    <mergeCell ref="AC12:AC14"/>
    <mergeCell ref="AL29:AL31"/>
    <mergeCell ref="AM6:AM9"/>
    <mergeCell ref="AM12:AM14"/>
    <mergeCell ref="AF19:AG19"/>
    <mergeCell ref="AI19:AL19"/>
    <mergeCell ref="AL23:AL26"/>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D877D204DAB6AE4A8A759F307A7BDAAB" ma:contentTypeVersion="2" ma:contentTypeDescription="Criar um novo documento." ma:contentTypeScope="" ma:versionID="bb65c918a3a875585985690d17e6da60">
  <xsd:schema xmlns:xsd="http://www.w3.org/2001/XMLSchema" xmlns:xs="http://www.w3.org/2001/XMLSchema" xmlns:p="http://schemas.microsoft.com/office/2006/metadata/properties" xmlns:ns1="http://schemas.microsoft.com/sharepoint/v3" xmlns:ns2="7cf7b1ef-1e93-4c17-baf1-74dfdfe6d591" targetNamespace="http://schemas.microsoft.com/office/2006/metadata/properties" ma:root="true" ma:fieldsID="15f8bb7434fce47643ca0fb9332f4b63" ns1:_="" ns2:_="">
    <xsd:import namespace="http://schemas.microsoft.com/sharepoint/v3"/>
    <xsd:import namespace="7cf7b1ef-1e93-4c17-baf1-74dfdfe6d591"/>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de Início do Agendamento" ma:description="A Data de Início de Fim é uma coluna de site criada pela funcionalidade Publicação. É utilizada para indicar a data e a hora em que esta página será mostrada aos visitantes do site pela primeira vez." ma:hidden="true" ma:internalName="PublishingStartDate">
      <xsd:simpleType>
        <xsd:restriction base="dms:Unknown"/>
      </xsd:simpleType>
    </xsd:element>
    <xsd:element name="PublishingExpirationDate" ma:index="9" nillable="true" ma:displayName="Data de Fim do Agendamento" ma:description="A Data de Fim do Agendamento é uma coluna de site criada pela funcionalidade Publicação. É utilizada para indicar a data e a hora em que esta página deixará de ser mostrada aos visitantes do site."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cf7b1ef-1e93-4c17-baf1-74dfdfe6d591" elementFormDefault="qualified">
    <xsd:import namespace="http://schemas.microsoft.com/office/2006/documentManagement/types"/>
    <xsd:import namespace="http://schemas.microsoft.com/office/infopath/2007/PartnerControls"/>
    <xsd:element name="SharedWithUsers" ma:index="10" nillable="true" ma:displayName="Partilhado Com"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61DD44-ACBA-45F9-91C6-E9BF80421F74}"/>
</file>

<file path=customXml/itemProps2.xml><?xml version="1.0" encoding="utf-8"?>
<ds:datastoreItem xmlns:ds="http://schemas.openxmlformats.org/officeDocument/2006/customXml" ds:itemID="{FCFA1053-EC8C-4487-93DE-92F808423FF0}"/>
</file>

<file path=customXml/itemProps3.xml><?xml version="1.0" encoding="utf-8"?>
<ds:datastoreItem xmlns:ds="http://schemas.openxmlformats.org/officeDocument/2006/customXml" ds:itemID="{21460596-B5E9-4225-9168-65DCA38038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8</vt:i4>
      </vt:variant>
    </vt:vector>
  </HeadingPairs>
  <TitlesOfParts>
    <vt:vector size="8" baseType="lpstr">
      <vt:lpstr>ENTRADA</vt:lpstr>
      <vt:lpstr>GEET</vt:lpstr>
      <vt:lpstr>PEGADA DE CLIENTES</vt:lpstr>
      <vt:lpstr>RESULTADOS INVENTÁRIO</vt:lpstr>
      <vt:lpstr>Folha1</vt:lpstr>
      <vt:lpstr>DADOS_INVENTÁRIO</vt:lpstr>
      <vt:lpstr>PROJEÇÕES</vt:lpstr>
      <vt:lpstr>Folha de Apoio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Ferramenta GEET - Emissões de Gases com Efeito de Estufa de um Empreendimento Turístico</dc:title>
  <dc:creator>Rita Lopes</dc:creator>
  <cp:lastModifiedBy>Susana Grácio</cp:lastModifiedBy>
  <dcterms:created xsi:type="dcterms:W3CDTF">2021-02-15T15:55:32Z</dcterms:created>
  <dcterms:modified xsi:type="dcterms:W3CDTF">2021-03-30T07:44:39Z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0x010100D877D204DAB6AE4A8A759F307A7BDAAB</vt:lpwstr>
  </property>
</Properties>
</file>